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2"/>
  <workbookPr defaultThemeVersion="166925"/>
  <mc:AlternateContent xmlns:mc="http://schemas.openxmlformats.org/markup-compatibility/2006">
    <mc:Choice Requires="x15">
      <x15ac:absPath xmlns:x15ac="http://schemas.microsoft.com/office/spreadsheetml/2010/11/ac" url="https://idipronbgta.sharepoint.com/sites/MapadeRiesgosIDIPRON/Documentos compartidos/RIESGOS 2025/Riesgos de Gestión/Primer seguimiento/Gestión Contractual/"/>
    </mc:Choice>
  </mc:AlternateContent>
  <xr:revisionPtr revIDLastSave="80" documentId="13_ncr:1_{049A751A-05D2-4F8C-B79D-25F3FF4D8787}" xr6:coauthVersionLast="47" xr6:coauthVersionMax="47" xr10:uidLastSave="{95DD5F76-FCB8-4B03-B9C2-D753FFEE3CEF}"/>
  <bookViews>
    <workbookView xWindow="-108" yWindow="-108" windowWidth="23256" windowHeight="12576" firstSheet="1" activeTab="1" xr2:uid="{E9951750-6718-4E65-99C4-7D8C6E70D595}"/>
  </bookViews>
  <sheets>
    <sheet name="Instructivo" sheetId="4" r:id="rId1"/>
    <sheet name="Riesgo 1" sheetId="3" r:id="rId2"/>
    <sheet name="Datos" sheetId="5" state="hidden" r:id="rId3"/>
  </sheets>
  <definedNames>
    <definedName name="_xlnm.Print_Area" localSheetId="1">'Riesgo 1'!$A$1:$AK$20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1" i="3" l="1"/>
  <c r="V25" i="3" l="1"/>
  <c r="S25" i="3"/>
  <c r="V24" i="3"/>
  <c r="S24" i="3"/>
  <c r="V23" i="3"/>
  <c r="S23" i="3"/>
  <c r="K23" i="3"/>
  <c r="L23" i="3" s="1"/>
  <c r="M23" i="3" s="1"/>
  <c r="H23" i="3"/>
  <c r="V20" i="3"/>
  <c r="V19" i="3"/>
  <c r="S20" i="3"/>
  <c r="S19" i="3"/>
  <c r="AD25" i="3" l="1"/>
  <c r="AC25" i="3" s="1"/>
  <c r="N23" i="3"/>
  <c r="O23" i="3" s="1"/>
  <c r="I23" i="3"/>
  <c r="Z23" i="3" s="1"/>
  <c r="AD23" i="3"/>
  <c r="AC23" i="3" s="1"/>
  <c r="V22" i="3"/>
  <c r="S22" i="3"/>
  <c r="S21" i="3"/>
  <c r="K21" i="3"/>
  <c r="H21" i="3"/>
  <c r="AD24" i="3" l="1"/>
  <c r="AC24" i="3" s="1"/>
  <c r="AA23" i="3"/>
  <c r="AE23" i="3" s="1"/>
  <c r="AF23" i="3" s="1"/>
  <c r="AB23" i="3"/>
  <c r="Z24" i="3" s="1"/>
  <c r="AB24" i="3" s="1"/>
  <c r="Z25" i="3" s="1"/>
  <c r="AB25" i="3" s="1"/>
  <c r="L21" i="3"/>
  <c r="M21" i="3" s="1"/>
  <c r="AD21" i="3" s="1"/>
  <c r="AC21" i="3" s="1"/>
  <c r="I21" i="3"/>
  <c r="Z21" i="3" s="1"/>
  <c r="AB21" i="3" s="1"/>
  <c r="Z22" i="3" s="1"/>
  <c r="AD22" i="3" l="1"/>
  <c r="AC22" i="3" s="1"/>
  <c r="AA25" i="3"/>
  <c r="AE25" i="3" s="1"/>
  <c r="AF25" i="3" s="1"/>
  <c r="AA24" i="3"/>
  <c r="AE24" i="3" s="1"/>
  <c r="AF24" i="3" s="1"/>
  <c r="N21" i="3"/>
  <c r="O21" i="3" s="1"/>
  <c r="AA21" i="3"/>
  <c r="AE21" i="3" s="1"/>
  <c r="AF21" i="3" s="1"/>
  <c r="AB22" i="3"/>
  <c r="AA22" i="3"/>
  <c r="AE22" i="3" l="1"/>
  <c r="AF22" i="3" s="1"/>
  <c r="V18" i="3"/>
  <c r="S18" i="3"/>
  <c r="V17" i="3" l="1"/>
  <c r="S17" i="3"/>
  <c r="K17" i="3" l="1"/>
  <c r="L17" i="3" s="1"/>
  <c r="M17" i="3" l="1"/>
  <c r="H17" i="3"/>
  <c r="AD17" i="3" l="1"/>
  <c r="AC17" i="3" s="1"/>
  <c r="AD20" i="3"/>
  <c r="AC20" i="3" s="1"/>
  <c r="AD18" i="3"/>
  <c r="I17" i="3"/>
  <c r="Z17" i="3" s="1"/>
  <c r="AA17" i="3" s="1"/>
  <c r="N17" i="3"/>
  <c r="O17" i="3" s="1"/>
  <c r="AC18" i="3" l="1"/>
  <c r="AD19" i="3"/>
  <c r="AC19" i="3" s="1"/>
  <c r="AE17" i="3"/>
  <c r="AF17" i="3" s="1"/>
  <c r="AB17" i="3"/>
  <c r="Z18" i="3" s="1"/>
  <c r="AA18" i="3" l="1"/>
  <c r="AE18" i="3" s="1"/>
  <c r="AF18" i="3" s="1"/>
  <c r="AB18" i="3"/>
  <c r="Z19" i="3" s="1"/>
  <c r="AB19" i="3" l="1"/>
  <c r="Z20" i="3" s="1"/>
  <c r="AA20" i="3" s="1"/>
  <c r="AE20" i="3" s="1"/>
  <c r="AF20" i="3" s="1"/>
  <c r="AA19" i="3"/>
  <c r="AE19" i="3" s="1"/>
  <c r="AF19" i="3" s="1"/>
  <c r="AB2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tc={FE0DD324-58BE-45B1-AEB7-6CF81C2329A8}</author>
    <author>tc={9F627753-3FC5-4942-9286-210516E16A4F}</author>
    <author>tc={A9030982-3136-492D-AB38-26F2F1A63692}</author>
    <author>tc={D63CAFCD-4238-4F2A-B0C6-9184EFF4AEA9}</author>
  </authors>
  <commentList>
    <comment ref="G17" authorId="0" shapeId="0" xr:uid="{FE0DD324-58BE-45B1-AEB7-6CF81C2329A8}">
      <text>
        <t>[Threaded comment]
Your version of Excel allows you to read this threaded comment; however, any edits to it will get removed if the file is opened in a newer version of Excel. Learn more: https://go.microsoft.com/fwlink/?linkid=870924
Comment:
    Se toma como base el numero de contratos de bienes realizados en el 2022</t>
      </text>
    </comment>
    <comment ref="G21" authorId="1" shapeId="0" xr:uid="{9F627753-3FC5-4942-9286-210516E16A4F}">
      <text>
        <t>[Threaded comment]
Your version of Excel allows you to read this threaded comment; however, any edits to it will get removed if the file is opened in a newer version of Excel. Learn more: https://go.microsoft.com/fwlink/?linkid=870924
Comment:
    Se toma como dato el número de Contratos de prestación de servicio en el 2022</t>
      </text>
    </comment>
    <comment ref="J21" authorId="2" shapeId="0" xr:uid="{A9030982-3136-492D-AB38-26F2F1A63692}">
      <text>
        <t>[Threaded comment]
Your version of Excel allows you to read this threaded comment; however, any edits to it will get removed if the file is opened in a newer version of Excel. Learn more: https://go.microsoft.com/fwlink/?linkid=870924
Comment:
    Se toma como dato las pretenciones por 344 millones de pesos a 2022</t>
      </text>
    </comment>
    <comment ref="G23" authorId="3" shapeId="0" xr:uid="{D63CAFCD-4238-4F2A-B0C6-9184EFF4AEA9}">
      <text>
        <t>[Threaded comment]
Your version of Excel allows you to read this threaded comment; however, any edits to it will get removed if the file is opened in a newer version of Excel. Learn more: https://go.microsoft.com/fwlink/?linkid=870924
Comment:
    Se toma como base el numero de supervisores de contrato que tiene la Entidad para 2022</t>
      </text>
    </comment>
  </commentList>
</comments>
</file>

<file path=xl/sharedStrings.xml><?xml version="1.0" encoding="utf-8"?>
<sst xmlns="http://schemas.openxmlformats.org/spreadsheetml/2006/main" count="250" uniqueCount="183">
  <si>
    <t>GESTION CONTRACTUAL</t>
  </si>
  <si>
    <t>CÓDIGO</t>
  </si>
  <si>
    <t>E-PLA-FT-020</t>
  </si>
  <si>
    <t>VERSIÓN</t>
  </si>
  <si>
    <t>09</t>
  </si>
  <si>
    <t>MAPA DE RIESGOS DE GESTIÓN</t>
  </si>
  <si>
    <t>PÁGINA</t>
  </si>
  <si>
    <t>1 DE 1</t>
  </si>
  <si>
    <t>VIGENTE DESDE</t>
  </si>
  <si>
    <t>Proceso</t>
  </si>
  <si>
    <t>Objetivo del Proceso</t>
  </si>
  <si>
    <t>Adelantar los procesos de contratación del IDIPRON según la información registrada en el Plan Anual de Adquisiciones publicado en el SECOP II bajo las diferentes modalidades establecidas dentro del marco legal vigente, cumpliendo con los principios de transparencia, economía, responsabilidad y los postulados que rigen la función administrativa de manera que se puedan cubrir las necesidades para el normal desarrollo de las actividades misionales y administrativas de la entidad</t>
  </si>
  <si>
    <t>Alcance</t>
  </si>
  <si>
    <t>El proceso inicia con la consolidación y aprobación del Plan Anual de Adquisiciones - PAA su desarrollo a traves de la estructuración, evaluación, contratación, supervisión y termina con la liquidación de los procesos contractuales cuando aplique.</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</si>
  <si>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</si>
  <si>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</si>
  <si>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</si>
  <si>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</si>
  <si>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</si>
  <si>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</si>
  <si>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</si>
  <si>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</si>
  <si>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</si>
  <si>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</si>
  <si>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</si>
  <si>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</si>
  <si>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</si>
  <si>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</si>
  <si>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</si>
  <si>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</si>
  <si>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</si>
  <si>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</si>
  <si>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</si>
  <si>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</si>
  <si>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</si>
  <si>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</si>
  <si>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</si>
  <si>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</si>
  <si>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</si>
  <si>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</si>
  <si>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</si>
  <si>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</si>
  <si>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</si>
  <si>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</si>
  <si>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</si>
  <si>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</si>
  <si>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</si>
  <si>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</si>
  <si>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</si>
  <si>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</si>
  <si>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</si>
  <si>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</si>
  <si>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</si>
  <si>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</si>
  <si>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</si>
  <si>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</si>
  <si>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</si>
  <si>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</si>
  <si>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</si>
  <si>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Perdida de confiabilidad por parte de los grupos de valor</t>
  </si>
  <si>
    <t xml:space="preserve">celebración de contratos sin el lleno de los requisito </t>
  </si>
  <si>
    <t>Posibilidad de afectación reputacional por perdida de confiabilidad por parte de los grupos de valor debido a la celebración de contratos sin el lleno de los requisitos</t>
  </si>
  <si>
    <t>El riesgo afecta la imagen de la entidad internamente, de conocimiento general nivel interno, de junta directiva y/o de proveedores</t>
  </si>
  <si>
    <t>Para cada proceso de contratación de bienes y servicios, el comité estructurador define a través de los estudios previos , los requisitos de orden juridico, tecnico y financiero para la postulación de los diferentes proponentes de los procesos de contratación de bienes y servicios de la entidad.</t>
  </si>
  <si>
    <t>Preventivo</t>
  </si>
  <si>
    <t>Manual</t>
  </si>
  <si>
    <t xml:space="preserve">Se encuentra documentado en los procedimientos según la modalidad de contratación </t>
  </si>
  <si>
    <t>Para todos los procesos</t>
  </si>
  <si>
    <t>Muestra de Estudios Previos trámitados en el periodo</t>
  </si>
  <si>
    <t>ACEPTAR EL RIESGO</t>
  </si>
  <si>
    <t>De acuerdo con la.metodologia para la administración del riesgo, no se formulan acciones de fortalecimiento para la vigencia 2024, por cuanto los controles existentes se consideran suficientes y permiten mitigar el riesgo</t>
  </si>
  <si>
    <t xml:space="preserve">Control 1
En el primer cuatrimestre de ha adelantdo un total de 9 procesos de contratación de bienes y servicios de los cuales 6 corresponden a Minima cuantía, 1 a orden de compra, 1 Bolsa mercantil y (1) Selección abreviada por subasta inversa, para todos los procesos se ha designado el comité estructurador interdisciplinario. se aporta como evidencia muestra del de los estudios previos  de 3 contratos de las siguientes modalidades:
 *Regimen especial (Vigilancia).
 *Subasta Inversa (Eementos de Aseo NNAJ) 
*Minima Cunatía (Fotocopiado)
Control 2
En el primer cuatrimestre de ha adelantdo un total de 3 procesos de contratación de bienes y servicios correspondienron a modalidades en las cuales son presentados los procesos ante el comité asesor de contratación, como soporte se aporta
Acta No 3 por medio de cal cual se aprobó el proceso "CONTRATAR LA SOCIEDAD COMISIONISTA MIEMBROS DE BOLSA QUE CELEBRARÁ 
EN EL MERCADO DE COMPRAS PÚBLICAS – MCP – DE LA BOLSA MERCANTIL DE COLOMBIA 
S.A. – BMC – LA NEGOCIACIÓN O NEGOCIACIONES NECESARIAS PARA CONTRATAR LA 
PRESTACIÓN DE SERVICIOS ESPECIALIZADOS DE VIGILANCIA Y SEGURIDAD PRIVADA 
PARA LA PROTECCIÓN DE LOS BIENES MUEBLES E INMUEBLES DE PROPIEDAD DEL IDIPRON 
Y DE TODOS AQUELLOS POR LOS CUALES LLEGASE A SER LEGALMENTE RESPONSABLE" 
Acta No 4 por medio de la cual se aprobo el proceso cuyo objeto consiste en SUMINISTRAR COMBUSTIBLE DIESEL - ACPM ECOLOGICO PREMIUM Y 
GASOLINA CORRIENTE OXIGENADA MEDIANTE EL SISTEMA DE CHIP PARA EL PARQUE 
AUTOMOTOR EQUIPOS Y MAQUINARIA DE PROPIEDAD A CARGO DEL IDIPRON, DENTRO Y 
FUERA DE BOGOTÁ mediante acuerdo marco.
Acta No 5 por medio de la cual se aprobó el porceso contractual cuyo objeto consiste en  CONTRATAR EL SUMINISTRO DE INSUMOS DE ASEO  PERSONAL PARA LOS NNAJ DEL IDIPRON EN EL MARCO DEL PROYECTO DE INVERSIÓN  7755. 
Control 3
Conforme a la Resolución 525 de 2024 las evaluaciones de los procesos de contratación ya nos son objeto de aprobacion por parte del Comite Asesor de contratación Se aporta Resolución.
Control 4 
No se ha identificado situación alguna en la cual se haya celebrado contrato sin el lleno de requisitos.
</t>
  </si>
  <si>
    <t>N/A</t>
  </si>
  <si>
    <t>No se tiene evidencia de la materialización del riesgo</t>
  </si>
  <si>
    <t xml:space="preserve">
Control 1 
Se evidencian que los procesos cargados fueron verificados por el comité estructurador, sin embargo, se sugiere cargar las evidencias para todo los procesos. 
No se materializa el riesgo 
Control 2
Se evidencian las revisiones y aprobaciones de los procesos de contratación de bs y ss
No se materializa el riesgo 
Control 3
Dado que es control ya no aplica, se sugiere elimianrlo o modificarlo por parte del proceso
No se materializa el riesgo
Control 4 
Noaplica acción de fortalecimiento
No se materializa el riesgo</t>
  </si>
  <si>
    <r>
      <rPr>
        <b/>
        <sz val="10"/>
        <color rgb="FF000000"/>
        <rFont val="Times New Roman"/>
      </rPr>
      <t xml:space="preserve">CONTROL 1
</t>
    </r>
    <r>
      <rPr>
        <sz val="10"/>
        <color rgb="FF000000"/>
        <rFont val="Times New Roman"/>
      </rPr>
      <t xml:space="preserve">se evidenció la ejecución de la actividad de control
</t>
    </r>
    <r>
      <rPr>
        <b/>
        <sz val="10"/>
        <color rgb="FF000000"/>
        <rFont val="Times New Roman"/>
      </rPr>
      <t xml:space="preserve">
ACCIONES PARA EL FORTALECIMIENTO DEL CONTROL
</t>
    </r>
    <r>
      <rPr>
        <sz val="10"/>
        <color rgb="FF000000"/>
        <rFont val="Times New Roman"/>
      </rPr>
      <t xml:space="preserve">De acuerdo con la metodología para la administración del riesgo, no se formulan acciones de fortalecimiento para la vigencia 2024, por cuanto los controles existentes se consideran suficientes y permiten mitigar el riesgo
</t>
    </r>
    <r>
      <rPr>
        <b/>
        <sz val="10"/>
        <color rgb="FF000000"/>
        <rFont val="Times New Roman"/>
      </rPr>
      <t xml:space="preserve">
NO SE HA MATERIALIZADO EL RIESGO.
CONTROL 2
se evidenció la ejecución de la actividad de control
ACCIONES PARA EL FORTALECIMIENTO DEL CONTROL
</t>
    </r>
    <r>
      <rPr>
        <sz val="10"/>
        <color rgb="FF000000"/>
        <rFont val="Times New Roman"/>
      </rPr>
      <t xml:space="preserve">De acuerdo con la metodología para la administración del riesgo, no se formulan acciones de fortalecimiento para la vigencia 2024, por cuanto los controles existentes se consideran suficientes y permiten mitigar el riesgo
</t>
    </r>
    <r>
      <rPr>
        <b/>
        <sz val="10"/>
        <color rgb="FF000000"/>
        <rFont val="Times New Roman"/>
      </rPr>
      <t xml:space="preserve">
NO SE HA MATERIALIZADO EL RIESGO.
CONTROL 3
Se reportó que durante este periodo no se dio aplicación a la actividad de control
ACCIONES PARA EL FORTALECIMIENTO DEL CONTROL
</t>
    </r>
    <r>
      <rPr>
        <sz val="10"/>
        <color rgb="FF000000"/>
        <rFont val="Times New Roman"/>
      </rPr>
      <t xml:space="preserve">De acuerdo con la metodología para la administración del riesgo, no se formulan acciones de fortalecimiento para la vigencia 2024, por cuanto los controles existentes se consideran suficientes y permiten mitigar el riesgo
</t>
    </r>
    <r>
      <rPr>
        <b/>
        <sz val="10"/>
        <color rgb="FF000000"/>
        <rFont val="Times New Roman"/>
      </rPr>
      <t xml:space="preserve">
NO SE HA MATERIALIZADO EL RIESGO.
CONTROL 4
Se reportó que durante este periodo no se dio aplicación a la actividad de control
ACCIONES PARA EL FORTALECIMIENTO DEL CONTROL
</t>
    </r>
    <r>
      <rPr>
        <sz val="10"/>
        <color rgb="FF000000"/>
        <rFont val="Times New Roman"/>
      </rPr>
      <t xml:space="preserve">De acuerdo con la metodología para la administración del riesgo, no se formulan acciones de fortalecimiento para la vigencia 2024, por cuanto los controles existentes se consideran suficientes y permiten mitigar el riesgo
</t>
    </r>
    <r>
      <rPr>
        <b/>
        <sz val="10"/>
        <color rgb="FF000000"/>
        <rFont val="Times New Roman"/>
      </rPr>
      <t xml:space="preserve">
NO SE HA MATERIALIZADO EL RIESGO.</t>
    </r>
  </si>
  <si>
    <t>Para cada proceso de contratación, excepto la mínima cuantía y CPS, el comité asesor de contratación, conoce,  valida y aprueba  los estudios previos frente a la normatividad vigente</t>
  </si>
  <si>
    <t>Para cada proceso de contratación, excepto la mínima cuantía y CPS</t>
  </si>
  <si>
    <t>Actas de comité asesor de contratación</t>
  </si>
  <si>
    <t>Para cada proceso de contratación, excepto la mínima cuantía y CPS, el comité asesor de contratación, conoce,  valida y aprueba  las evaluaciones de las propuestas conforme a lo establecido en los pliegos de condiciones definitivos y las adendas que se expidan.</t>
  </si>
  <si>
    <t xml:space="preserve">En caso de identificar que se celebró algun contrato sin el lleno de los requistos,  el supervisor del contrato o la Gerencia de Contratación presenta ante el comité asesor de contratación, para proceder conforme a la ley. </t>
  </si>
  <si>
    <t>Correctivo</t>
  </si>
  <si>
    <t xml:space="preserve">Resolución 491 de 2022 </t>
  </si>
  <si>
    <t>Cada vez que se identifique un contrato celebrado sin el lleno de requisitos</t>
  </si>
  <si>
    <t>Económico y Reputacional</t>
  </si>
  <si>
    <t>Por fallos de sentencias judiciales en contra de la entidad</t>
  </si>
  <si>
    <t>debido a la configuracion de contrato realidad</t>
  </si>
  <si>
    <t>Posibilidad de afectación económica por fallos de sentencias judiciales en contra de la entidad debido a la configuración de contrato realidad</t>
  </si>
  <si>
    <t>Afectación Menor a 700 SMLMV</t>
  </si>
  <si>
    <t xml:space="preserve">Cada vez que se ajuste la politica distrital del daño antijurídico  la o el  jefe de la Oficina Jurídica realiza las acciones necesarias para adoptar los lineamientos en el Instituto  </t>
  </si>
  <si>
    <t>Directiva 006 de 09 junio 2022</t>
  </si>
  <si>
    <t>Anualmente</t>
  </si>
  <si>
    <r>
      <rPr>
        <sz val="12"/>
        <rFont val="Times New Roman"/>
        <family val="1"/>
      </rPr>
      <t>Acto administrativo que adopta la Politica Distrital</t>
    </r>
    <r>
      <rPr>
        <strike/>
        <sz val="12"/>
        <rFont val="Times New Roman"/>
        <family val="1"/>
      </rPr>
      <t xml:space="preserve"> 
</t>
    </r>
  </si>
  <si>
    <r>
      <rPr>
        <sz val="10"/>
        <color rgb="FF000000"/>
        <rFont val="Times New Roman"/>
      </rPr>
      <t xml:space="preserve">Control 1
Riesgo pendiente de verificación par ala vigencia por pertenecer al proceso de Gestión Jurídica.
Control 2 
Desde la Gerencia de Contratación con el apoyo de la Secretaría General, se expidió la Circular No 001 por medio de la cual se bridaron los </t>
    </r>
    <r>
      <rPr>
        <i/>
        <sz val="10"/>
        <color rgb="FF000000"/>
        <rFont val="Times New Roman"/>
      </rPr>
      <t xml:space="preserve">"LINEAMIENTOS PARA LA PROYECCIÓN DE LOS CONTRATOS DE 
PRESTACIÓN DE SERVICIOS PARA LA VIGENCIA 2025" </t>
    </r>
    <r>
      <rPr>
        <sz val="10"/>
        <color rgb="FF000000"/>
        <rFont val="Times New Roman"/>
      </rPr>
      <t>en donde da la orientación para la redacción de objetos contractuales y obligaciones especificas para la estrucutración de los estudios previos para la contratación de prestación de servicios en el IDIPRON.
Anexo Circular 001 de 2025.</t>
    </r>
  </si>
  <si>
    <t>No se tiene evidnecia de la materialización del riesgo</t>
  </si>
  <si>
    <t>Control 1
Se debe revisar y solicitar su traslado 
No se materializa el riesgo
Control 2 
Se evidencia el soporte de los lineamientos dados para el proceso de contratación 
Noaplica acción de fortalecimiento
No se materializa el riesgo</t>
  </si>
  <si>
    <r>
      <t>CONTROL 1</t>
    </r>
    <r>
      <rPr>
        <sz val="8"/>
        <color rgb="FF000000"/>
        <rFont val="Arial"/>
        <family val="2"/>
      </rPr>
      <t xml:space="preserve">
No se aportó evidencia que dé cuenta de la ejecución de la actividad de control.
ACCIONES PARA EL FORTALECIMIENTO DEL CONTROL
De acuerdo con la metodología para la administración del riesgo, no se formulan acciones de fortalecimiento para la vigencia 2024, por cuanto los controles existentes se consideran suficientes y permiten mitigar el riesgo</t>
    </r>
    <r>
      <rPr>
        <b/>
        <sz val="8"/>
        <color rgb="FF000000"/>
        <rFont val="Arial"/>
        <family val="2"/>
      </rPr>
      <t xml:space="preserve">
NO SE HA MATERIALIZADO EL RIESGO.
CONTROL 2
La evidencia aportada no permite verificar ejecución de la actividad de control, debido a que la evidencia establecida para el reporte de La Ejecución es una Acta de reunión y/o Listados de Asistencia y/o Presentación realizada, por el proceso se traslada como soporte la Circular No 001 por medio de la cual se bridaron los "LINEAMIENTOS PARA LA PROYECCIÓN DE LOS CONTRATOS DE PRESTACIÓN DE SERVICIOS PARA LA VIGENCIA 2025".
ACCIONES PARA EL FORTALECIMIENTO DEL CONTROL</t>
    </r>
    <r>
      <rPr>
        <sz val="8"/>
        <color rgb="FF000000"/>
        <rFont val="Arial"/>
        <family val="2"/>
      </rPr>
      <t xml:space="preserve">
De acuerdo con la metodología para la administración del riesgo, no se formulan acciones de fortalecimiento para la vigencia 2024, por cuanto los controles existentes se consideran suficientes y permiten mitigar el riesgo</t>
    </r>
    <r>
      <rPr>
        <b/>
        <sz val="8"/>
        <color rgb="FF000000"/>
        <rFont val="Arial"/>
        <family val="2"/>
      </rPr>
      <t xml:space="preserve">
NO SE HA MATERIALIZADO EL RIESGO.</t>
    </r>
  </si>
  <si>
    <t>El equipo precontractual de la Gerencia de Contratación realiza acompañamiento a las áreas semestralmente,  verificando que los lineamientos establecidos en la politica de daño antijurídico en materia de contrato realidad son conocidos por los estructuradores de los estudios previos en cada área de la entidad.</t>
  </si>
  <si>
    <t>Contratación de Prestación de Servicios  Profesionales y de Apoyo a la Gestión A-GCO-PR-015</t>
  </si>
  <si>
    <t>Semestralmente</t>
  </si>
  <si>
    <t>Acta de reunión y/o Listados de Asistencia y/o Presentacion realizada</t>
  </si>
  <si>
    <t xml:space="preserve">quejas, reclamaciones por parte de los grupos de valor y  demandas, multas o  sanciones,  detrimento patriomonial </t>
  </si>
  <si>
    <t>incumplimiento del objeto contractual ocasionado por la  indebida supervisión del contrato</t>
  </si>
  <si>
    <t>Posibilidad de afectación económica o reputacional por quejas y reclamaciones por parte de los grupos de valor, demandas, multas o sanciones y detrimento patrimonial de la entidad debido a incumplimiento de las obligaciones contractuales ocasionado por la  indebida supervisión del contrato</t>
  </si>
  <si>
    <t>El supervisor del contrato, cada vez que detecte posibles incumplimientos de las obligaciones contractuales, pone en conocimiento del Comité de supervision e interventoria el cual revisa la información y procede a orientar frente a las acciones que se pueden adelantar por parte de la supervisión  y de la entidad.</t>
  </si>
  <si>
    <t>Detectivo</t>
  </si>
  <si>
    <t>Manual de Supervisión e Interventoría A-GCO-MA-001</t>
  </si>
  <si>
    <t>cada vez que detecte posibles incumplimientos</t>
  </si>
  <si>
    <t>Acta de reunión Comité de supervisión e Interventoría</t>
  </si>
  <si>
    <t>Socializar un documento para la publicación de la información de la ejecución contractual en el SECOP II con el fin de dar orientaciones frente a los soportes que hacen parte de la ejecución contractual</t>
  </si>
  <si>
    <t>Gerente de Contratación</t>
  </si>
  <si>
    <t>01/04/2024 al 30/06/2024</t>
  </si>
  <si>
    <r>
      <rPr>
        <b/>
        <sz val="10"/>
        <color rgb="FF000000"/>
        <rFont val="Times New Roman"/>
      </rPr>
      <t xml:space="preserve">Control 1
</t>
    </r>
    <r>
      <rPr>
        <sz val="10"/>
        <color rgb="FF000000"/>
        <rFont val="Times New Roman"/>
      </rPr>
      <t xml:space="preserve">Para el periodo reportado se ha adelantado una (1) sesión del comité de supervisión e interventoría en el cual se conoció de los casos de presunto incumpliiento de los contratos:
 *Contrato 2023-2152 - CESAR DAVID CONTO MUÑOZ
 *Contrato 2024-1118 - JAIR ENRIQUE OVIEDO ALVAREZ
Donde el Comité brindo las orientaciones a la supervisión
</t>
    </r>
    <r>
      <rPr>
        <b/>
        <sz val="10"/>
        <color rgb="FF000000"/>
        <rFont val="Times New Roman"/>
      </rPr>
      <t xml:space="preserve">
Soporte: </t>
    </r>
    <r>
      <rPr>
        <sz val="10"/>
        <color rgb="FF000000"/>
        <rFont val="Times New Roman"/>
      </rPr>
      <t xml:space="preserve">Acta de Comité de Supervisión e interventoría del 16/01/2025.
</t>
    </r>
    <r>
      <rPr>
        <b/>
        <sz val="10"/>
        <color rgb="FF000000"/>
        <rFont val="Times New Roman"/>
      </rPr>
      <t xml:space="preserve">
Control 2
</t>
    </r>
    <r>
      <rPr>
        <sz val="10"/>
        <color rgb="FF000000"/>
        <rFont val="Times New Roman"/>
      </rPr>
      <t xml:space="preserve">En el periodo reportado se han recibido dos (2) informes de incumplimiento en el Gerencia de Contratación en donde se da el detalle del presunto incumplimiento en los contratos:
* Nro. 2356 de 2023 ADQUISICIÓN DE REPUESTOS E INSUMOS PARA LOS 
INSTRUMENTOS MUSICALES QUE REQUIEREN 
MANTENIMIENTO CORRECTIVO, PARA LAS ACTIVIDADES 
PEDAGÓGICAS DE MÚSICA EN EL MARCO DEL MODELO DE 
ATENCIÓN DEL IDIPRON.
* Contrato  No. 2288 DE 
2023 SUMINISTRO DE CANECAS Y PUNTOS ECOLÓGICOS PARA 
REALIZAR LA CORRECTA CLASIFICACIÓN DE LOS RESIDUOS EN
LA SEDE DEL IDIPRON O DE AQUELLAS QUE ESTÉN BAJO SU 
RESPONSABILIDAD QUE PERMITAN DAR CUMPLIMIENTO AL
PMSDA 2022-036 DE BOGOTA.
Lo anterior con el fin de adelantar la citación de audiencia de incumplimiento, de lo anterior se convocó audiencia para el contrato No 2356 de 2023.
</t>
    </r>
    <r>
      <rPr>
        <b/>
        <sz val="10"/>
        <color rgb="FF000000"/>
        <rFont val="Times New Roman"/>
      </rPr>
      <t xml:space="preserve">
Soporte: </t>
    </r>
    <r>
      <rPr>
        <sz val="10"/>
        <color rgb="FF000000"/>
        <rFont val="Times New Roman"/>
      </rPr>
      <t xml:space="preserve">Se anexa dos (2) informes de incumplimiento de los contratos relacionados anteriormente.
</t>
    </r>
    <r>
      <rPr>
        <b/>
        <sz val="10"/>
        <color rgb="FF000000"/>
        <rFont val="Times New Roman"/>
      </rPr>
      <t xml:space="preserve">
Control 3
</t>
    </r>
    <r>
      <rPr>
        <sz val="10"/>
        <color rgb="FF000000"/>
        <rFont val="Times New Roman"/>
      </rPr>
      <t>Se adelantó audiencia de incumplimiento total del Contrato Nro. 2356 de 2023, cuyo objeto es 
“ADQUISICIÓN DE REPUESTOS E INSUMOS PARA LOS INSTRUMENTOS MUSICALES QUE 
REQUIEREN MANTENIMIENTO CORRECTIVO, PARA LAS ACTIVIDADES PEDAGÓGICAS DE 
MÚSICA EN EL MARCO DEL MODELO DE ATENCIÓN DEL IDIPRON” por parte de GUARA 
SOLUCION LOGISTICA S.A.S. con NIT 901.401.552-3 donde se hace efectiva la cláusula del numeral 15. PENAL PECUNIARIA establecida en la Invitación Publica del Proceso de Mínima cuantía No. MC-IDIPRON-2023-0034, equivalente al 20% del 
valor total del contrato, que corresponde a la suma de TRES MILLONES SEISCIENTOS ONCE MIL 
CIENTO CINCUENTA Y CUATRO PESOS CON VEINTE CENTAVOS ($3.611.154,20), para tal efecto se aporta Resolución No 231 de 2025</t>
    </r>
  </si>
  <si>
    <t>Se adelantó ciclo de capacitaciones en el mes de marzo frente al documento interno de publicación de la información contractual asi como la implementación de los pagos en el SECOP II con lo cual se da cumplimiento a la acción de fortalecimiento.</t>
  </si>
  <si>
    <t xml:space="preserve">Control 1
Se evidencia la actividad de control meadiante el comité de supervisión e interventoría
No se materializó el riesgo 
Control 2 
Se evidencian los informes de incumplimiento revisados
No se materializa el riesgo 
Control 3 
Se evidencia los soportes del seguimiento al incumplimiento a favor del Instituto
No se materializa el riesgo
Se evidencia laa ctividad de fortalecimiento. 
</t>
  </si>
  <si>
    <r>
      <t xml:space="preserve">
CONTROL 1
se evidenció la ejecución de la actividad de control
ACCIONES PARA EL FORTALECIMIENTO DEL CONTROL</t>
    </r>
    <r>
      <rPr>
        <sz val="9"/>
        <color rgb="FF000000"/>
        <rFont val="Arial"/>
        <family val="2"/>
      </rPr>
      <t xml:space="preserve">
Se verifica la materialización de las acciones de fortalecimiento , el proceso traslado como evidencias el documento para la publicación de la información de la ejecución contractual en el Secop II CÓDIGO A-GCO-DI-001 vigente desde el 10/02/2025 , Instructivo cargue de facturas o cuentas de cobro por parte de  los contratistas del IDIPRON a través de la plataforma (Secop II) y Listados de asistencia capacitaciones con el fin de dar orientaciones frente a los soportes que hacen parte de la ejecución contractual.</t>
    </r>
    <r>
      <rPr>
        <b/>
        <sz val="9"/>
        <color rgb="FF000000"/>
        <rFont val="Arial"/>
        <family val="2"/>
      </rPr>
      <t xml:space="preserve">
NO SE HA MATERIALIZADO EL RIESGO.
CONTROL 2
se evidenció la ejecución de la actividad de control
ACCIONES PARA EL FORTALECIMIENTO DEL CONTROL</t>
    </r>
    <r>
      <rPr>
        <sz val="9"/>
        <color rgb="FF000000"/>
        <rFont val="Arial"/>
        <family val="2"/>
      </rPr>
      <t xml:space="preserve">
Se verifica la materialización de las acciones de fortalecimiento , el proceso traslado como evidencias el documento para la publicación de la información de la ejecución contractual en el Secop II CÓDIGO A-GCO-DI-001 vigente desde el 10/02/2025 , Instructivo cargue de facturas o cuentas de cobro por parte de  los contratistas del IDIPRON a través de la plataforma (Secop II) y Listados de asistencia capacitaciones con el fin de dar orientaciones frente a los soportes que hacen parte de la ejecución contractual.</t>
    </r>
    <r>
      <rPr>
        <b/>
        <sz val="9"/>
        <color rgb="FF000000"/>
        <rFont val="Arial"/>
        <family val="2"/>
      </rPr>
      <t xml:space="preserve">
NO SE HA MATERIALIZADO EL RIESGO.
CONTROL 3
se evidenció la ejecución de la actividad de control
ACCIONES PARA EL FORTALECIMIENTO DEL CONTROL</t>
    </r>
    <r>
      <rPr>
        <sz val="9"/>
        <color rgb="FF000000"/>
        <rFont val="Arial"/>
        <family val="2"/>
      </rPr>
      <t xml:space="preserve">
Se verifica la materialización de las acciones de fortalecimiento , el proceso traslado como evidencias el documento para la publicación de la información de la ejecución contractual en el Secop II CÓDIGO A-GCO-DI-001 vigente desde el 10/02/2025 , Instructivo cargue de facturas o cuentas de cobro por parte de  los contratistas del IDIPRON a través de la plataforma (Secop II) y Listados de asistencia capacitaciones con el fin de dar orientaciones frente a los soportes que hacen parte de la ejecución contractual.</t>
    </r>
    <r>
      <rPr>
        <b/>
        <sz val="9"/>
        <color rgb="FF000000"/>
        <rFont val="Arial"/>
        <family val="2"/>
      </rPr>
      <t xml:space="preserve">
NO SE HA MATERIALIZADO EL RIESGO.</t>
    </r>
  </si>
  <si>
    <t>El o la Gerente de Contratación, cada vez que reciba un informe de antecedentes y recomendaciones, revisa el informe del supervisor y/o interventor y los antecedentes, donde evaluará los elementos fácticos del  posible incumplimiento y las  recomendaciones formuladas por el Comité Asesor de Supervisión e Interventoría.</t>
  </si>
  <si>
    <t xml:space="preserve">PROCEDIMIENTO PARA 
INCUMPLIMIENTO CONTRACTUAL A-GCO-PR-017 </t>
  </si>
  <si>
    <t>cada vez que reciba un inoforme de antecedentes y recomendaciones</t>
  </si>
  <si>
    <t>En caso de identificar un incumplimiento, el ordenador del gasto, convoca  la audiencia donde se cita a la aseguradora que emitió la póliza del contatista con el fin de verificar los hechos y afectar o no la garantía contractual</t>
  </si>
  <si>
    <t>En caso de identificar un incumplimiento</t>
  </si>
  <si>
    <t>Acta de la audiencia y/o Resolución por la cual se declara el incumplimiento y/o citación a la audiencia a la aseguradora que emitió la póliza</t>
  </si>
  <si>
    <t>area de impacto</t>
  </si>
  <si>
    <t>PROBABILIDAD DE OCURRENCIA</t>
  </si>
  <si>
    <t>IMPACTO</t>
  </si>
  <si>
    <t>CONDICIONES RIESGO INHERENTE</t>
  </si>
  <si>
    <t>AFECTACIÓN ECONÓMICA O PRESUPUESTAL</t>
  </si>
  <si>
    <t>Económico</t>
  </si>
  <si>
    <t>MUY BAJA</t>
  </si>
  <si>
    <t>LEVE</t>
  </si>
  <si>
    <t>MUY BAJA - LEVE</t>
  </si>
  <si>
    <t>BAJO</t>
  </si>
  <si>
    <t>Leve</t>
  </si>
  <si>
    <t>BAJA</t>
  </si>
  <si>
    <t>MENOR</t>
  </si>
  <si>
    <t>MUY BAJA - MENOR</t>
  </si>
  <si>
    <t>Afectación Entre 700 y 1500 SMLMV</t>
  </si>
  <si>
    <t>Menor</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</si>
  <si>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</si>
  <si>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</si>
  <si>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</si>
  <si>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</si>
  <si>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</si>
  <si>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</si>
  <si>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</si>
  <si>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</si>
  <si>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</si>
  <si>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</si>
  <si>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</si>
  <si>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</si>
  <si>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</si>
  <si>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</si>
  <si>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</si>
  <si>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</si>
  <si>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</si>
  <si>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</si>
  <si>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</si>
  <si>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</si>
  <si>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</si>
  <si>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</si>
  <si>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</si>
  <si>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BAJA - CATASTRÓFICO</t>
  </si>
  <si>
    <t>El riesgo afecta la imagen de la entidad con algunos usuarios de relevancia frente al logro de los objetivos.</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</si>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</sst>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2">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8"/>
      <color rgb="FF000000"/>
      <name val="Arial"/>
      <family val="2"/>
    </font>
    <font>
      <sz val="10"/>
      <color rgb="FF000000"/>
      <name val="Times New Roman"/>
      <family val="1"/>
    </font>
    <font>
      <sz val="9"/>
      <color rgb="FF000000"/>
      <name val="Arial"/>
      <family val="2"/>
    </font>
    <font>
      <strike/>
      <sz val="12"/>
      <name val="Times New Roman"/>
      <family val="1"/>
    </font>
    <font>
      <sz val="10"/>
      <color rgb="FF000000"/>
      <name val="Times New Roman"/>
    </font>
    <font>
      <i/>
      <sz val="10"/>
      <color rgb="FF000000"/>
      <name val="Times New Roman"/>
    </font>
    <font>
      <b/>
      <sz val="10"/>
      <color rgb="FF000000"/>
      <name val="Times New Roman"/>
    </font>
    <font>
      <b/>
      <sz val="10"/>
      <color rgb="FF000000"/>
      <name val="Times New Roman"/>
      <family val="1"/>
    </font>
    <font>
      <b/>
      <sz val="8"/>
      <color rgb="FF000000"/>
      <name val="Arial"/>
      <family val="2"/>
    </font>
    <font>
      <b/>
      <sz val="9"/>
      <color rgb="FF000000"/>
      <name val="Arial"/>
      <family val="2"/>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D9E1F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41" fontId="6" fillId="0" borderId="0" applyFont="0" applyFill="0" applyBorder="0" applyAlignment="0" applyProtection="0"/>
  </cellStyleXfs>
  <cellXfs count="242">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0" xfId="0" applyFont="1" applyBorder="1" applyAlignment="1">
      <alignment horizontal="justify" vertical="center" wrapText="1"/>
    </xf>
    <xf numFmtId="0" fontId="2" fillId="0" borderId="1"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36" xfId="0" applyFont="1" applyBorder="1" applyAlignment="1">
      <alignment horizontal="center" vertical="center"/>
    </xf>
    <xf numFmtId="0" fontId="2" fillId="0" borderId="6" xfId="0" applyFont="1" applyBorder="1" applyAlignment="1">
      <alignment horizontal="center" vertical="center" textRotation="90"/>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30" xfId="0" applyFont="1" applyBorder="1" applyAlignment="1">
      <alignment horizontal="center" vertical="center"/>
    </xf>
    <xf numFmtId="0" fontId="2" fillId="0" borderId="5" xfId="0" applyFont="1" applyBorder="1" applyAlignment="1">
      <alignment horizontal="center" vertical="center" textRotation="90"/>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164" fontId="2" fillId="4" borderId="6" xfId="0" applyNumberFormat="1" applyFont="1" applyFill="1" applyBorder="1" applyAlignment="1">
      <alignment horizontal="center" vertical="center"/>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4" borderId="6" xfId="0" applyFont="1" applyFill="1" applyBorder="1" applyAlignment="1">
      <alignment vertical="center" textRotation="90"/>
    </xf>
    <xf numFmtId="0" fontId="2" fillId="0" borderId="16" xfId="0" applyFont="1" applyBorder="1" applyAlignment="1">
      <alignment horizontal="justify" vertical="center" wrapText="1"/>
    </xf>
    <xf numFmtId="0" fontId="0" fillId="0" borderId="29" xfId="0" applyBorder="1"/>
    <xf numFmtId="0" fontId="9" fillId="0" borderId="16" xfId="0" applyFont="1" applyBorder="1" applyAlignment="1">
      <alignment horizontal="justify" vertical="center" wrapText="1"/>
    </xf>
    <xf numFmtId="0" fontId="9" fillId="0" borderId="6" xfId="0" applyFont="1" applyBorder="1" applyAlignment="1">
      <alignment horizontal="justify" vertical="center" wrapText="1"/>
    </xf>
    <xf numFmtId="0" fontId="9" fillId="5" borderId="1" xfId="0" applyFont="1" applyFill="1" applyBorder="1" applyAlignment="1">
      <alignment horizontal="center" vertical="center" textRotation="90" wrapText="1"/>
    </xf>
    <xf numFmtId="0" fontId="2" fillId="5" borderId="1" xfId="0" applyFont="1" applyFill="1" applyBorder="1" applyAlignment="1">
      <alignment horizontal="center" vertical="center" textRotation="90" wrapText="1"/>
    </xf>
    <xf numFmtId="0" fontId="2" fillId="5" borderId="16" xfId="0" applyFont="1" applyFill="1" applyBorder="1" applyAlignment="1">
      <alignment horizontal="center" vertical="center" textRotation="90" wrapText="1"/>
    </xf>
    <xf numFmtId="0" fontId="2" fillId="0" borderId="10" xfId="0" applyFont="1" applyBorder="1" applyAlignment="1">
      <alignment horizontal="center" vertical="center" textRotation="90" wrapText="1"/>
    </xf>
    <xf numFmtId="0" fontId="9" fillId="0" borderId="16" xfId="0" applyFont="1" applyBorder="1" applyAlignment="1">
      <alignment horizontal="center" vertical="center" textRotation="90" wrapText="1"/>
    </xf>
    <xf numFmtId="0" fontId="2" fillId="0" borderId="42" xfId="0" applyFont="1" applyBorder="1" applyAlignment="1">
      <alignment horizontal="center" vertical="center" textRotation="90" wrapText="1"/>
    </xf>
    <xf numFmtId="0" fontId="15" fillId="0" borderId="10" xfId="0" applyFont="1" applyBorder="1" applyAlignment="1">
      <alignment horizontal="center" vertical="center" textRotation="90" wrapText="1"/>
    </xf>
    <xf numFmtId="0" fontId="11" fillId="0" borderId="29" xfId="0" applyFont="1" applyBorder="1"/>
    <xf numFmtId="0" fontId="4" fillId="0" borderId="1" xfId="0" applyFont="1" applyBorder="1"/>
    <xf numFmtId="0" fontId="11" fillId="0" borderId="1" xfId="0" applyFont="1" applyBorder="1"/>
    <xf numFmtId="14" fontId="11" fillId="0" borderId="30" xfId="0" applyNumberFormat="1" applyFont="1" applyBorder="1" applyAlignment="1" applyProtection="1">
      <alignment horizontal="center" vertical="center"/>
      <protection locked="0"/>
    </xf>
    <xf numFmtId="14" fontId="11" fillId="0" borderId="35" xfId="0" applyNumberFormat="1" applyFont="1" applyBorder="1" applyAlignment="1" applyProtection="1">
      <alignment horizontal="center" vertical="center"/>
      <protection locked="0"/>
    </xf>
    <xf numFmtId="14" fontId="11" fillId="0" borderId="36" xfId="0" applyNumberFormat="1" applyFont="1" applyBorder="1" applyAlignment="1" applyProtection="1">
      <alignment horizontal="center" vertical="center"/>
      <protection locked="0"/>
    </xf>
    <xf numFmtId="0" fontId="20" fillId="0" borderId="32" xfId="0" applyFont="1" applyBorder="1" applyAlignment="1">
      <alignment wrapText="1"/>
    </xf>
    <xf numFmtId="0" fontId="21" fillId="0" borderId="46" xfId="0" applyFont="1" applyBorder="1" applyAlignment="1">
      <alignment wrapText="1"/>
    </xf>
    <xf numFmtId="0" fontId="21" fillId="0" borderId="47" xfId="0" applyFont="1" applyBorder="1" applyAlignment="1">
      <alignment wrapText="1"/>
    </xf>
    <xf numFmtId="0" fontId="21" fillId="0" borderId="48" xfId="0" applyFont="1" applyBorder="1" applyAlignment="1">
      <alignment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1" fillId="2" borderId="2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14" fontId="1" fillId="0" borderId="20" xfId="0" applyNumberFormat="1" applyFont="1" applyBorder="1" applyAlignment="1">
      <alignment horizontal="center" vertical="center"/>
    </xf>
    <xf numFmtId="0" fontId="1" fillId="2" borderId="21" xfId="0" applyFont="1" applyFill="1" applyBorder="1" applyAlignment="1">
      <alignment horizontal="center" vertical="center"/>
    </xf>
    <xf numFmtId="0" fontId="1" fillId="2" borderId="7" xfId="0" applyFont="1" applyFill="1" applyBorder="1" applyAlignment="1">
      <alignment horizontal="center" vertical="center"/>
    </xf>
    <xf numFmtId="0" fontId="16" fillId="0" borderId="1" xfId="0" applyFont="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1" fillId="0" borderId="12" xfId="0" applyFont="1" applyBorder="1" applyAlignment="1">
      <alignment horizontal="center" vertical="center" textRotation="90"/>
    </xf>
    <xf numFmtId="0" fontId="1" fillId="0" borderId="14" xfId="0" applyFont="1" applyBorder="1" applyAlignment="1">
      <alignment horizontal="center" vertical="center" textRotation="90"/>
    </xf>
    <xf numFmtId="0" fontId="1" fillId="0" borderId="17" xfId="0" applyFont="1" applyBorder="1" applyAlignment="1">
      <alignment horizontal="center" vertical="center" textRotation="90"/>
    </xf>
    <xf numFmtId="0" fontId="9" fillId="0" borderId="35"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14" fontId="9" fillId="0" borderId="38" xfId="0" applyNumberFormat="1" applyFont="1" applyBorder="1" applyAlignment="1">
      <alignment horizontal="center" vertical="center" wrapText="1"/>
    </xf>
    <xf numFmtId="14" fontId="9" fillId="0" borderId="39" xfId="0" applyNumberFormat="1" applyFont="1" applyBorder="1" applyAlignment="1">
      <alignment horizontal="center" vertical="center" wrapText="1"/>
    </xf>
    <xf numFmtId="0" fontId="11" fillId="0" borderId="35" xfId="0" applyFont="1" applyBorder="1" applyAlignment="1" applyProtection="1">
      <alignment horizontal="center" vertical="center"/>
      <protection locked="0"/>
    </xf>
    <xf numFmtId="0" fontId="11" fillId="0" borderId="37" xfId="0" applyFont="1" applyBorder="1" applyAlignment="1" applyProtection="1">
      <alignment horizontal="center" vertical="center"/>
      <protection locked="0"/>
    </xf>
    <xf numFmtId="0" fontId="3" fillId="0" borderId="36" xfId="0" applyFont="1" applyBorder="1" applyAlignment="1">
      <alignment horizontal="center" vertical="center"/>
    </xf>
    <xf numFmtId="0" fontId="3" fillId="0" borderId="13" xfId="0" applyFont="1" applyBorder="1" applyAlignment="1">
      <alignment horizontal="center" vertic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6" xfId="0"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0" fontId="3" fillId="4" borderId="6"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6" xfId="0" applyFont="1" applyFill="1" applyBorder="1" applyAlignment="1">
      <alignment horizontal="center" vertical="center"/>
    </xf>
    <xf numFmtId="9" fontId="3" fillId="4" borderId="6"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3" fillId="3" borderId="6"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9" fontId="5" fillId="0" borderId="32" xfId="0" applyNumberFormat="1" applyFont="1" applyBorder="1" applyAlignment="1">
      <alignment horizontal="center" vertical="center" wrapText="1"/>
    </xf>
    <xf numFmtId="9" fontId="5" fillId="0" borderId="33" xfId="0" applyNumberFormat="1"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9" fontId="3" fillId="4" borderId="10" xfId="0" applyNumberFormat="1" applyFont="1" applyFill="1" applyBorder="1" applyAlignment="1">
      <alignment horizontal="center" vertical="center"/>
    </xf>
    <xf numFmtId="9" fontId="3" fillId="4" borderId="5" xfId="0" applyNumberFormat="1" applyFont="1" applyFill="1" applyBorder="1" applyAlignment="1">
      <alignment horizontal="center" vertical="center"/>
    </xf>
    <xf numFmtId="0" fontId="10" fillId="4" borderId="9" xfId="0" applyFont="1" applyFill="1" applyBorder="1" applyAlignment="1">
      <alignment horizontal="center" vertical="center" textRotation="90"/>
    </xf>
    <xf numFmtId="0" fontId="3" fillId="4" borderId="10" xfId="0" applyFont="1" applyFill="1" applyBorder="1" applyAlignment="1">
      <alignment horizontal="center" vertical="center"/>
    </xf>
    <xf numFmtId="0" fontId="3" fillId="4" borderId="5" xfId="0" applyFont="1" applyFill="1" applyBorder="1" applyAlignment="1">
      <alignment horizontal="center" vertical="center"/>
    </xf>
    <xf numFmtId="14" fontId="2" fillId="0" borderId="38" xfId="0" applyNumberFormat="1" applyFont="1" applyBorder="1" applyAlignment="1">
      <alignment horizontal="center" vertical="center" wrapText="1"/>
    </xf>
    <xf numFmtId="14" fontId="2" fillId="0" borderId="39" xfId="0" applyNumberFormat="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4" fontId="2" fillId="0" borderId="11" xfId="0" applyNumberFormat="1" applyFont="1" applyBorder="1" applyAlignment="1">
      <alignment horizontal="center" vertical="center" wrapText="1"/>
    </xf>
    <xf numFmtId="41" fontId="3" fillId="0" borderId="9" xfId="1" applyFont="1" applyBorder="1" applyAlignment="1">
      <alignment horizontal="center" vertical="center" wrapText="1"/>
    </xf>
    <xf numFmtId="9" fontId="3" fillId="4" borderId="9" xfId="0" applyNumberFormat="1" applyFont="1" applyFill="1" applyBorder="1" applyAlignment="1">
      <alignment horizontal="center" vertical="center"/>
    </xf>
    <xf numFmtId="0" fontId="1" fillId="0" borderId="19" xfId="0" applyFont="1" applyBorder="1" applyAlignment="1">
      <alignment horizontal="center" vertical="center" textRotation="90"/>
    </xf>
    <xf numFmtId="0" fontId="1" fillId="0" borderId="31" xfId="0" applyFont="1" applyBorder="1" applyAlignment="1">
      <alignment horizontal="center" vertical="center" textRotation="9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3" fillId="0" borderId="18" xfId="0" applyFont="1" applyBorder="1" applyAlignment="1">
      <alignment horizontal="center" vertical="center"/>
    </xf>
    <xf numFmtId="0" fontId="3" fillId="0" borderId="30" xfId="0" applyFont="1" applyBorder="1" applyAlignment="1">
      <alignment horizontal="center" vertical="center"/>
    </xf>
    <xf numFmtId="0" fontId="3" fillId="0" borderId="15" xfId="0" applyFont="1" applyBorder="1" applyAlignment="1">
      <alignment horizontal="center" vertical="center"/>
    </xf>
    <xf numFmtId="9" fontId="3" fillId="0" borderId="9" xfId="0" applyNumberFormat="1" applyFont="1" applyBorder="1" applyAlignment="1">
      <alignment horizontal="center" vertical="center" wrapText="1"/>
    </xf>
    <xf numFmtId="0" fontId="19" fillId="0" borderId="32" xfId="0" applyFont="1" applyBorder="1" applyAlignment="1">
      <alignment wrapText="1"/>
    </xf>
    <xf numFmtId="0" fontId="19" fillId="0" borderId="6" xfId="0" applyFont="1" applyBorder="1" applyAlignment="1">
      <alignment wrapText="1"/>
    </xf>
    <xf numFmtId="0" fontId="13" fillId="0" borderId="41" xfId="0" applyFont="1" applyBorder="1" applyAlignment="1">
      <alignment horizontal="center" vertical="center" wrapText="1"/>
    </xf>
    <xf numFmtId="0" fontId="11" fillId="0" borderId="1" xfId="0" applyFont="1" applyBorder="1" applyAlignment="1">
      <alignment horizontal="center" vertical="center" wrapText="1"/>
    </xf>
    <xf numFmtId="0" fontId="16" fillId="0" borderId="35" xfId="0" applyFont="1" applyBorder="1" applyAlignment="1" applyProtection="1">
      <alignment horizontal="center" vertical="center" wrapText="1"/>
      <protection locked="0"/>
    </xf>
    <xf numFmtId="0" fontId="11" fillId="0" borderId="37" xfId="0" applyFont="1" applyBorder="1" applyAlignment="1" applyProtection="1">
      <alignment horizontal="center" vertical="center" wrapText="1"/>
      <protection locked="0"/>
    </xf>
    <xf numFmtId="0" fontId="11" fillId="0" borderId="44" xfId="0" applyFont="1" applyBorder="1" applyAlignment="1" applyProtection="1">
      <alignment horizontal="center" vertical="center" wrapText="1"/>
      <protection locked="0"/>
    </xf>
    <xf numFmtId="0" fontId="11" fillId="0" borderId="45" xfId="0" applyFont="1" applyBorder="1" applyAlignment="1" applyProtection="1">
      <alignment horizontal="center" vertical="center" wrapText="1"/>
      <protection locked="0"/>
    </xf>
    <xf numFmtId="0" fontId="11" fillId="0" borderId="35" xfId="0" applyFont="1" applyBorder="1" applyAlignment="1" applyProtection="1">
      <alignment horizontal="center" vertical="center" wrapText="1"/>
      <protection locked="0"/>
    </xf>
    <xf numFmtId="0" fontId="11" fillId="0" borderId="27" xfId="0" applyFont="1" applyBorder="1" applyAlignment="1" applyProtection="1">
      <alignment horizontal="center"/>
      <protection locked="0"/>
    </xf>
    <xf numFmtId="0" fontId="11" fillId="0" borderId="28" xfId="0" applyFont="1" applyBorder="1" applyAlignment="1" applyProtection="1">
      <alignment horizontal="center"/>
      <protection locked="0"/>
    </xf>
    <xf numFmtId="0" fontId="13" fillId="0" borderId="43" xfId="0" applyFont="1" applyBorder="1" applyAlignment="1" applyProtection="1">
      <alignment horizontal="center" vertical="center" wrapText="1"/>
      <protection locked="0"/>
    </xf>
    <xf numFmtId="0" fontId="13" fillId="0" borderId="44" xfId="0" applyFont="1" applyBorder="1" applyAlignment="1" applyProtection="1">
      <alignment horizontal="center" vertical="center" wrapText="1"/>
      <protection locked="0"/>
    </xf>
    <xf numFmtId="0" fontId="13" fillId="0" borderId="45"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protection locked="0"/>
    </xf>
    <xf numFmtId="0" fontId="11" fillId="0" borderId="44" xfId="0" applyFont="1" applyBorder="1" applyAlignment="1" applyProtection="1">
      <alignment horizontal="center" vertical="center"/>
      <protection locked="0"/>
    </xf>
    <xf numFmtId="0" fontId="11" fillId="0" borderId="45" xfId="0" applyFont="1" applyBorder="1" applyAlignment="1" applyProtection="1">
      <alignment horizontal="center" vertical="center"/>
      <protection locked="0"/>
    </xf>
    <xf numFmtId="14" fontId="11" fillId="0" borderId="1" xfId="0" applyNumberFormat="1" applyFont="1" applyBorder="1" applyAlignment="1" applyProtection="1">
      <alignment horizontal="center" vertical="center"/>
      <protection locked="0"/>
    </xf>
    <xf numFmtId="0" fontId="1" fillId="2" borderId="1" xfId="0" applyFont="1" applyFill="1" applyBorder="1" applyAlignment="1">
      <alignment horizontal="center"/>
    </xf>
    <xf numFmtId="0" fontId="18" fillId="0" borderId="5" xfId="0" applyFont="1" applyBorder="1" applyAlignment="1">
      <alignment wrapText="1"/>
    </xf>
  </cellXfs>
  <cellStyles count="2">
    <cellStyle name="Millares [0]" xfId="1" builtinId="6"/>
    <cellStyle name="Normal" xfId="0" builtinId="0"/>
  </cellStyles>
  <dxfs count="34">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theme="9" tint="0.39994506668294322"/>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FF0000"/>
        </patternFill>
      </fill>
    </dxf>
    <dxf>
      <font>
        <b/>
        <i val="0"/>
        <color auto="1"/>
      </font>
      <fill>
        <patternFill>
          <bgColor theme="5"/>
        </patternFill>
      </fill>
    </dxf>
    <dxf>
      <font>
        <b/>
        <i val="0"/>
        <color auto="1"/>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4BCA98DC-1060-41AB-B8EF-8B0ADCA392D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6B0AC879-1CFE-4C21-A504-6BBFCBE6DDF3}"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4-05T19:52:20.03" personId="{6B0AC879-1CFE-4C21-A504-6BBFCBE6DDF3}" id="{FE0DD324-58BE-45B1-AEB7-6CF81C2329A8}">
    <text>Se toma como base el numero de contratos de bienes realizados en el 2022</text>
  </threadedComment>
  <threadedComment ref="G21" dT="2022-04-05T19:55:42.59" personId="{6B0AC879-1CFE-4C21-A504-6BBFCBE6DDF3}" id="{9F627753-3FC5-4942-9286-210516E16A4F}">
    <text>Se toma como dato el número de Contratos de prestación de servicio en el 2022</text>
  </threadedComment>
  <threadedComment ref="J21" dT="2022-04-05T19:56:03.77" personId="{6B0AC879-1CFE-4C21-A504-6BBFCBE6DDF3}" id="{A9030982-3136-492D-AB38-26F2F1A63692}">
    <text>Se toma como dato las pretenciones por 344 millones de pesos a 2022</text>
  </threadedComment>
  <threadedComment ref="G23" dT="2022-04-05T19:57:36.65" personId="{6B0AC879-1CFE-4C21-A504-6BBFCBE6DDF3}" id="{D63CAFCD-4238-4F2A-B0C6-9184EFF4AEA9}">
    <text>Se toma como base el numero de supervisores de contrato que tiene la Entidad para 2022</text>
  </threadedComment>
</ThreadedComment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4374F-F591-4574-B834-47D1B9F3602A}">
  <dimension ref="A1"/>
  <sheetViews>
    <sheetView topLeftCell="A16" workbookViewId="0">
      <selection activeCell="C36" sqref="C36"/>
    </sheetView>
  </sheetViews>
  <sheetFormatPr defaultColWidth="11.42578125" defaultRowHeight="14.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D74B-D3D9-46FB-9DAF-7C0A11A88DD8}">
  <dimension ref="A1:AT31"/>
  <sheetViews>
    <sheetView showGridLines="0" tabSelected="1" topLeftCell="AO12" zoomScale="90" zoomScaleNormal="90" zoomScaleSheetLayoutView="90" workbookViewId="0">
      <selection activeCell="AT17" sqref="AT17:AT20"/>
    </sheetView>
  </sheetViews>
  <sheetFormatPr defaultColWidth="11.42578125" defaultRowHeight="15.6"/>
  <cols>
    <col min="2" max="2" width="27.140625" customWidth="1"/>
    <col min="3" max="3" width="26" customWidth="1"/>
    <col min="4" max="4" width="19.140625" customWidth="1"/>
    <col min="5" max="5" width="41" customWidth="1"/>
    <col min="6" max="6" width="25.42578125"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4" width="11.42578125" style="1" customWidth="1"/>
    <col min="25" max="25" width="25.85546875" style="1" customWidth="1"/>
    <col min="26" max="27" width="7.28515625" style="1" hidden="1" customWidth="1"/>
    <col min="28" max="28" width="9" style="1" hidden="1" customWidth="1"/>
    <col min="29" max="29" width="8" style="1" hidden="1" customWidth="1"/>
    <col min="30" max="31" width="7.28515625" style="1" hidden="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1" customWidth="1"/>
    <col min="39" max="39" width="18.28515625" customWidth="1"/>
    <col min="40" max="40" width="110.28515625" customWidth="1"/>
    <col min="41" max="43" width="45" customWidth="1"/>
    <col min="44" max="44" width="1" customWidth="1"/>
    <col min="45" max="45" width="45" customWidth="1"/>
    <col min="46" max="46" width="57.28515625" customWidth="1"/>
  </cols>
  <sheetData>
    <row r="1" spans="1:46" ht="15.75" customHeight="1">
      <c r="A1" s="102"/>
      <c r="B1" s="103"/>
      <c r="C1" s="174" t="s">
        <v>0</v>
      </c>
      <c r="D1" s="175"/>
      <c r="E1" s="175"/>
      <c r="F1" s="175"/>
      <c r="G1" s="175"/>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P1" s="176"/>
      <c r="AQ1" s="102" t="s">
        <v>1</v>
      </c>
      <c r="AR1" s="103"/>
      <c r="AS1" s="106" t="s">
        <v>2</v>
      </c>
      <c r="AT1" s="107"/>
    </row>
    <row r="2" spans="1:46" ht="15.75" customHeight="1" thickBot="1">
      <c r="A2" s="172"/>
      <c r="B2" s="173"/>
      <c r="C2" s="177"/>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c r="AD2" s="178"/>
      <c r="AE2" s="178"/>
      <c r="AF2" s="178"/>
      <c r="AG2" s="178"/>
      <c r="AH2" s="178"/>
      <c r="AI2" s="178"/>
      <c r="AJ2" s="178"/>
      <c r="AK2" s="178"/>
      <c r="AL2" s="178"/>
      <c r="AM2" s="178"/>
      <c r="AN2" s="178"/>
      <c r="AO2" s="178"/>
      <c r="AP2" s="179"/>
      <c r="AQ2" s="104"/>
      <c r="AR2" s="105"/>
      <c r="AS2" s="108"/>
      <c r="AT2" s="109"/>
    </row>
    <row r="3" spans="1:46" ht="15.75" customHeight="1">
      <c r="A3" s="172"/>
      <c r="B3" s="173"/>
      <c r="C3" s="177"/>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c r="AK3" s="178"/>
      <c r="AL3" s="178"/>
      <c r="AM3" s="178"/>
      <c r="AN3" s="178"/>
      <c r="AO3" s="178"/>
      <c r="AP3" s="179"/>
      <c r="AQ3" s="102" t="s">
        <v>3</v>
      </c>
      <c r="AR3" s="103"/>
      <c r="AS3" s="110" t="s">
        <v>4</v>
      </c>
      <c r="AT3" s="111"/>
    </row>
    <row r="4" spans="1:46" ht="16.5" customHeight="1" thickBot="1">
      <c r="A4" s="172"/>
      <c r="B4" s="173"/>
      <c r="C4" s="180"/>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2"/>
      <c r="AQ4" s="104"/>
      <c r="AR4" s="105"/>
      <c r="AS4" s="112"/>
      <c r="AT4" s="113"/>
    </row>
    <row r="5" spans="1:46" ht="20.45" customHeight="1">
      <c r="A5" s="172"/>
      <c r="B5" s="173"/>
      <c r="C5" s="177" t="s">
        <v>5</v>
      </c>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9"/>
      <c r="AQ5" s="102" t="s">
        <v>6</v>
      </c>
      <c r="AR5" s="103"/>
      <c r="AS5" s="102" t="s">
        <v>7</v>
      </c>
      <c r="AT5" s="103"/>
    </row>
    <row r="6" spans="1:46" ht="15" customHeight="1" thickBot="1">
      <c r="A6" s="172"/>
      <c r="B6" s="173"/>
      <c r="C6" s="177"/>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c r="AM6" s="178"/>
      <c r="AN6" s="178"/>
      <c r="AO6" s="178"/>
      <c r="AP6" s="179"/>
      <c r="AQ6" s="104"/>
      <c r="AR6" s="105"/>
      <c r="AS6" s="104"/>
      <c r="AT6" s="105"/>
    </row>
    <row r="7" spans="1:46" ht="15.75" customHeight="1">
      <c r="A7" s="172"/>
      <c r="B7" s="173"/>
      <c r="C7" s="177"/>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9"/>
      <c r="AQ7" s="102" t="s">
        <v>8</v>
      </c>
      <c r="AR7" s="103"/>
      <c r="AS7" s="118">
        <v>44651</v>
      </c>
      <c r="AT7" s="107"/>
    </row>
    <row r="8" spans="1:46" ht="16.5" customHeight="1" thickBot="1">
      <c r="A8" s="104"/>
      <c r="B8" s="105"/>
      <c r="C8" s="180"/>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2"/>
      <c r="AQ8" s="104"/>
      <c r="AR8" s="105"/>
      <c r="AS8" s="108"/>
      <c r="AT8" s="109"/>
    </row>
    <row r="10" spans="1:46" ht="54" customHeight="1">
      <c r="A10" s="190" t="s">
        <v>9</v>
      </c>
      <c r="B10" s="190"/>
      <c r="C10" s="190"/>
      <c r="D10" s="191" t="s">
        <v>0</v>
      </c>
      <c r="E10" s="192"/>
      <c r="F10" s="192"/>
      <c r="G10" s="192"/>
      <c r="H10" s="192"/>
      <c r="I10" s="192"/>
      <c r="J10" s="192"/>
      <c r="K10" s="192"/>
      <c r="L10" s="192"/>
      <c r="M10" s="193"/>
      <c r="N10" s="29"/>
      <c r="AG10" s="1"/>
      <c r="AH10" s="1"/>
      <c r="AI10" s="1"/>
    </row>
    <row r="11" spans="1:46" s="3" customFormat="1" ht="75" customHeight="1">
      <c r="A11" s="190" t="s">
        <v>10</v>
      </c>
      <c r="B11" s="190"/>
      <c r="C11" s="190"/>
      <c r="D11" s="200" t="s">
        <v>11</v>
      </c>
      <c r="E11" s="201"/>
      <c r="F11" s="201"/>
      <c r="G11" s="201"/>
      <c r="H11" s="201"/>
      <c r="I11" s="201"/>
      <c r="J11" s="201"/>
      <c r="K11" s="201"/>
      <c r="L11" s="201"/>
      <c r="M11" s="202"/>
      <c r="N11" s="30"/>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190" t="s">
        <v>12</v>
      </c>
      <c r="B12" s="190"/>
      <c r="C12" s="190"/>
      <c r="D12" s="200" t="s">
        <v>13</v>
      </c>
      <c r="E12" s="201"/>
      <c r="F12" s="201"/>
      <c r="G12" s="201"/>
      <c r="H12" s="201"/>
      <c r="I12" s="201"/>
      <c r="J12" s="201"/>
      <c r="K12" s="201"/>
      <c r="L12" s="201"/>
      <c r="M12" s="202"/>
      <c r="N12" s="30"/>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203" t="s">
        <v>14</v>
      </c>
      <c r="B14" s="204"/>
      <c r="C14" s="204"/>
      <c r="D14" s="204"/>
      <c r="E14" s="204"/>
      <c r="F14" s="204"/>
      <c r="G14" s="204"/>
      <c r="H14" s="204"/>
      <c r="I14" s="204"/>
      <c r="J14" s="204"/>
      <c r="K14" s="204"/>
      <c r="L14" s="204"/>
      <c r="M14" s="204"/>
      <c r="N14" s="205"/>
      <c r="O14" s="206"/>
      <c r="P14" s="2"/>
      <c r="Q14" s="211" t="s">
        <v>15</v>
      </c>
      <c r="R14" s="212"/>
      <c r="S14" s="212"/>
      <c r="T14" s="213"/>
      <c r="U14" s="213"/>
      <c r="V14" s="213"/>
      <c r="W14" s="213"/>
      <c r="X14" s="213"/>
      <c r="Y14" s="213"/>
      <c r="Z14" s="212"/>
      <c r="AA14" s="212"/>
      <c r="AB14" s="212"/>
      <c r="AC14" s="212"/>
      <c r="AD14" s="212"/>
      <c r="AE14" s="212"/>
      <c r="AF14" s="212"/>
      <c r="AG14" s="214"/>
      <c r="AH14" s="2"/>
      <c r="AI14" s="114" t="s">
        <v>16</v>
      </c>
      <c r="AJ14" s="119"/>
      <c r="AK14" s="115"/>
      <c r="AM14" s="114" t="s">
        <v>17</v>
      </c>
      <c r="AN14" s="119"/>
      <c r="AO14" s="119"/>
      <c r="AP14" s="119"/>
      <c r="AQ14" s="119"/>
      <c r="AR14" s="42"/>
      <c r="AS14" s="114" t="s">
        <v>18</v>
      </c>
      <c r="AT14" s="115"/>
    </row>
    <row r="15" spans="1:46">
      <c r="A15" s="207"/>
      <c r="B15" s="208"/>
      <c r="C15" s="208"/>
      <c r="D15" s="208"/>
      <c r="E15" s="208"/>
      <c r="F15" s="208"/>
      <c r="G15" s="208"/>
      <c r="H15" s="208"/>
      <c r="I15" s="208"/>
      <c r="J15" s="208"/>
      <c r="K15" s="208"/>
      <c r="L15" s="208"/>
      <c r="M15" s="208"/>
      <c r="N15" s="209"/>
      <c r="O15" s="210"/>
      <c r="P15" s="2"/>
      <c r="Q15" s="31"/>
      <c r="R15" s="32"/>
      <c r="S15" s="32"/>
      <c r="T15" s="240" t="s">
        <v>19</v>
      </c>
      <c r="U15" s="240"/>
      <c r="V15" s="240"/>
      <c r="W15" s="240"/>
      <c r="X15" s="240"/>
      <c r="Y15" s="240"/>
      <c r="Z15" s="215"/>
      <c r="AA15" s="215"/>
      <c r="AB15" s="215"/>
      <c r="AC15" s="215"/>
      <c r="AD15" s="215"/>
      <c r="AE15" s="215"/>
      <c r="AF15" s="215"/>
      <c r="AG15" s="216"/>
      <c r="AH15" s="2"/>
      <c r="AI15" s="116"/>
      <c r="AJ15" s="120"/>
      <c r="AK15" s="117"/>
      <c r="AM15" s="116"/>
      <c r="AN15" s="120"/>
      <c r="AO15" s="120"/>
      <c r="AP15" s="120"/>
      <c r="AQ15" s="120"/>
      <c r="AR15" s="42"/>
      <c r="AS15" s="116"/>
      <c r="AT15" s="117"/>
    </row>
    <row r="16" spans="1:46" s="5" customFormat="1" ht="106.5" customHeight="1">
      <c r="A16" s="11" t="s">
        <v>20</v>
      </c>
      <c r="B16" s="12" t="s">
        <v>21</v>
      </c>
      <c r="C16" s="13" t="s">
        <v>22</v>
      </c>
      <c r="D16" s="13" t="s">
        <v>23</v>
      </c>
      <c r="E16" s="14" t="s">
        <v>24</v>
      </c>
      <c r="F16" s="24" t="s">
        <v>25</v>
      </c>
      <c r="G16" s="46" t="s">
        <v>26</v>
      </c>
      <c r="H16" s="14" t="s">
        <v>27</v>
      </c>
      <c r="I16" s="13" t="s">
        <v>28</v>
      </c>
      <c r="J16" s="13" t="s">
        <v>29</v>
      </c>
      <c r="K16" s="14" t="s">
        <v>30</v>
      </c>
      <c r="L16" s="14" t="s">
        <v>31</v>
      </c>
      <c r="M16" s="13" t="s">
        <v>28</v>
      </c>
      <c r="N16" s="13" t="s">
        <v>32</v>
      </c>
      <c r="O16" s="15" t="s">
        <v>33</v>
      </c>
      <c r="P16" s="2"/>
      <c r="Q16" s="16" t="s">
        <v>34</v>
      </c>
      <c r="R16" s="17" t="s">
        <v>35</v>
      </c>
      <c r="S16" s="35" t="s">
        <v>36</v>
      </c>
      <c r="T16" s="18" t="s">
        <v>37</v>
      </c>
      <c r="U16" s="18" t="s">
        <v>38</v>
      </c>
      <c r="V16" s="18" t="s">
        <v>39</v>
      </c>
      <c r="W16" s="18" t="s">
        <v>40</v>
      </c>
      <c r="X16" s="18" t="s">
        <v>41</v>
      </c>
      <c r="Y16" s="18" t="s">
        <v>42</v>
      </c>
      <c r="Z16" s="19" t="s">
        <v>43</v>
      </c>
      <c r="AA16" s="19" t="s">
        <v>44</v>
      </c>
      <c r="AB16" s="19" t="s">
        <v>28</v>
      </c>
      <c r="AC16" s="19" t="s">
        <v>45</v>
      </c>
      <c r="AD16" s="19" t="s">
        <v>28</v>
      </c>
      <c r="AE16" s="19" t="s">
        <v>32</v>
      </c>
      <c r="AF16" s="19" t="s">
        <v>46</v>
      </c>
      <c r="AG16" s="15" t="s">
        <v>47</v>
      </c>
      <c r="AH16" s="2"/>
      <c r="AI16" s="20" t="s">
        <v>48</v>
      </c>
      <c r="AJ16" s="17" t="s">
        <v>49</v>
      </c>
      <c r="AK16" s="41" t="s">
        <v>50</v>
      </c>
      <c r="AM16" s="44" t="s">
        <v>51</v>
      </c>
      <c r="AN16" s="44" t="s">
        <v>52</v>
      </c>
      <c r="AO16" s="44" t="s">
        <v>53</v>
      </c>
      <c r="AP16" s="44" t="s">
        <v>54</v>
      </c>
      <c r="AQ16" s="44" t="s">
        <v>55</v>
      </c>
      <c r="AR16" s="43"/>
      <c r="AS16" s="44" t="s">
        <v>56</v>
      </c>
      <c r="AT16" s="45" t="s">
        <v>57</v>
      </c>
    </row>
    <row r="17" spans="1:46" ht="190.5" customHeight="1">
      <c r="A17" s="217">
        <v>1</v>
      </c>
      <c r="B17" s="196" t="s">
        <v>58</v>
      </c>
      <c r="C17" s="194" t="s">
        <v>59</v>
      </c>
      <c r="D17" s="194" t="s">
        <v>60</v>
      </c>
      <c r="E17" s="194" t="s">
        <v>61</v>
      </c>
      <c r="F17" s="198"/>
      <c r="G17" s="196">
        <v>110</v>
      </c>
      <c r="H17" s="164" t="str">
        <f>IF(G17&lt;=0,"",IF(G17&lt;=2,"Muy Baja",IF(G17&lt;=24,"Baja",IF(G17&lt;=500,"Media",IF(G17&lt;=5000,"Alta","Muy Alta")))))</f>
        <v>Media</v>
      </c>
      <c r="I17" s="161">
        <f>IF(H17="","",IF(H17="Muy Baja",0.2,IF(H17="Baja",0.4,IF(H17="Media",0.6,IF(H17="Alta",0.8,IF(H17="Muy Alta",1,))))))</f>
        <v>0.6</v>
      </c>
      <c r="J17" s="220" t="s">
        <v>62</v>
      </c>
      <c r="K17" s="186" t="str">
        <f>+J17</f>
        <v>El riesgo afecta la imagen de la entidad internamente, de conocimiento general nivel interno, de junta directiva y/o de proveedores</v>
      </c>
      <c r="L17" s="164" t="str">
        <f>+VLOOKUP(K17,Datos!$O$4:$P$15,2,FALSE)</f>
        <v>Menor</v>
      </c>
      <c r="M17" s="161">
        <f>IF(L17="","",IF(L17="Leve",0.2,IF(L17="Menor",0.4,IF(L17="Moderado",0.6,IF(L17="Mayor",0.8,IF(L17="Catastrófico",1,))))))</f>
        <v>0.4</v>
      </c>
      <c r="N17" s="187" t="str">
        <f>+CONCATENATE(H17, " - ", L17)</f>
        <v>Media - Menor</v>
      </c>
      <c r="O17" s="163" t="str">
        <f>+VLOOKUP(N17,Datos!$J$4:$K$28,2,)</f>
        <v>MODERADO</v>
      </c>
      <c r="P17" s="38"/>
      <c r="Q17" s="21">
        <v>1</v>
      </c>
      <c r="R17" s="33" t="s">
        <v>63</v>
      </c>
      <c r="S17" s="49" t="str">
        <f t="shared" ref="S17:S22" si="0">IF(OR(T17="Preventivo",T17="Detectivo"),"Probabilidad",IF(T17="Correctivo","Impacto",""))</f>
        <v>Probabilidad</v>
      </c>
      <c r="T17" s="39" t="s">
        <v>64</v>
      </c>
      <c r="U17" s="39" t="s">
        <v>65</v>
      </c>
      <c r="V17" s="53" t="str">
        <f t="shared" ref="V17:V20" si="1">IF(AND(T17="Preventivo",U17="Automático"),"50%",IF(AND(T17="Preventivo",U17="Manual"),"40%",IF(AND(T17="Detectivo",U17="Automático"),"40%",IF(AND(T17="Detectivo",U17="Manual"),"30%",IF(AND(T17="Correctivo",U17="Automático"),"35%",IF(AND(T17="Correctivo",U17="Manual"),"25%",""))))))</f>
        <v>40%</v>
      </c>
      <c r="W17" s="10" t="s">
        <v>66</v>
      </c>
      <c r="X17" s="6" t="s">
        <v>67</v>
      </c>
      <c r="Y17" s="85" t="s">
        <v>68</v>
      </c>
      <c r="Z17" s="57">
        <f>IFERROR(IF(S17="Probabilidad",(I17-(+I17*V17)),IF(S17="Impacto",I17,"")),"")</f>
        <v>0.36</v>
      </c>
      <c r="AA17" s="58" t="str">
        <f t="shared" ref="AA17:AA22" si="2">IFERROR(IF(Z17="","",IF(Z17&lt;=0.2,"Muy Baja",IF(Z17&lt;=0.4,"Baja",IF(Z17&lt;=0.6,"Media",IF(Z17&lt;=0.8,"Alta","Muy Alta"))))),"")</f>
        <v>Baja</v>
      </c>
      <c r="AB17" s="59">
        <f t="shared" ref="AB17:AB22" si="3">+Z17</f>
        <v>0.36</v>
      </c>
      <c r="AC17" s="60" t="str">
        <f t="shared" ref="AC17:AC22" si="4">IFERROR(IF(AD17="","",IF(AD17&lt;=0.2,"Leve",IF(AD17&lt;=0.4,"Menor",IF(AD17&lt;=0.6,"Moderado",IF(AD17&lt;=0.8,"Mayor","Catastrófico"))))),"")</f>
        <v>Menor</v>
      </c>
      <c r="AD17" s="57">
        <f>IFERROR(IF(S17="Impacto",(M17-(+M17*V17)),IF(S17="Probabilidad",M17,"")),"")</f>
        <v>0.4</v>
      </c>
      <c r="AE17" s="61" t="str">
        <f>+CONCATENATE(AA17, " - ", AC17)</f>
        <v>Baja - Menor</v>
      </c>
      <c r="AF17" s="77" t="str">
        <f>+VLOOKUP(AE17,Datos!$J$4:$K$28,2,)</f>
        <v>MODERADO</v>
      </c>
      <c r="AG17" s="188" t="s">
        <v>69</v>
      </c>
      <c r="AH17" s="38"/>
      <c r="AI17" s="183" t="s">
        <v>70</v>
      </c>
      <c r="AJ17" s="184"/>
      <c r="AK17" s="185"/>
      <c r="AM17" s="239">
        <v>45791</v>
      </c>
      <c r="AN17" s="121" t="s">
        <v>71</v>
      </c>
      <c r="AO17" s="122" t="s">
        <v>72</v>
      </c>
      <c r="AP17" s="122" t="s">
        <v>73</v>
      </c>
      <c r="AQ17" s="122"/>
      <c r="AR17" s="93"/>
      <c r="AS17" s="224" t="s">
        <v>74</v>
      </c>
      <c r="AT17" s="241" t="s">
        <v>75</v>
      </c>
    </row>
    <row r="18" spans="1:46" ht="160.5" customHeight="1">
      <c r="A18" s="135"/>
      <c r="B18" s="155"/>
      <c r="C18" s="137"/>
      <c r="D18" s="137"/>
      <c r="E18" s="137"/>
      <c r="F18" s="152"/>
      <c r="G18" s="155"/>
      <c r="H18" s="142"/>
      <c r="I18" s="145"/>
      <c r="J18" s="168"/>
      <c r="K18" s="139"/>
      <c r="L18" s="142"/>
      <c r="M18" s="145"/>
      <c r="N18" s="147"/>
      <c r="O18" s="149"/>
      <c r="P18" s="2"/>
      <c r="Q18" s="8">
        <v>2</v>
      </c>
      <c r="R18" s="34" t="s">
        <v>76</v>
      </c>
      <c r="S18" s="50" t="str">
        <f t="shared" si="0"/>
        <v>Probabilidad</v>
      </c>
      <c r="T18" s="6" t="s">
        <v>64</v>
      </c>
      <c r="U18" s="6" t="s">
        <v>65</v>
      </c>
      <c r="V18" s="54" t="str">
        <f t="shared" si="1"/>
        <v>40%</v>
      </c>
      <c r="W18" s="10" t="s">
        <v>66</v>
      </c>
      <c r="X18" s="10" t="s">
        <v>77</v>
      </c>
      <c r="Y18" s="86" t="s">
        <v>78</v>
      </c>
      <c r="Z18" s="62">
        <f>IFERROR(IF(AND(S17="Probabilidad",S18="Probabilidad"),(AB17-(+AB17*V18)),IF(S18="Probabilidad",(I17-(+I17*V18)),IF(S18="Impacto",AB17,""))),"")</f>
        <v>0.216</v>
      </c>
      <c r="AA18" s="63" t="str">
        <f t="shared" si="2"/>
        <v>Baja</v>
      </c>
      <c r="AB18" s="64">
        <f t="shared" si="3"/>
        <v>0.216</v>
      </c>
      <c r="AC18" s="65" t="str">
        <f t="shared" si="4"/>
        <v>Menor</v>
      </c>
      <c r="AD18" s="62">
        <f>IFERROR(IF(AND(S17="Impacto",S17="Impacto"),(AD17-(+AD17*V18)),IF(S18="Impacto",(M17-(+M17*V18)),IF(S18="Probabilidad",AD17,""))),"")</f>
        <v>0.4</v>
      </c>
      <c r="AE18" s="66" t="str">
        <f t="shared" ref="AE18:AE19" si="5">+CONCATENATE(AA18, " - ", AC18)</f>
        <v>Baja - Menor</v>
      </c>
      <c r="AF18" s="78" t="str">
        <f>+VLOOKUP(AE18,Datos!$J$4:$K$28,2,)</f>
        <v>MODERADO</v>
      </c>
      <c r="AG18" s="124"/>
      <c r="AH18" s="2"/>
      <c r="AI18" s="170"/>
      <c r="AJ18" s="159"/>
      <c r="AK18" s="166"/>
      <c r="AM18" s="239"/>
      <c r="AN18" s="122"/>
      <c r="AO18" s="122"/>
      <c r="AP18" s="122"/>
      <c r="AQ18" s="122"/>
      <c r="AR18" s="94"/>
      <c r="AS18" s="224"/>
      <c r="AT18" s="221"/>
    </row>
    <row r="19" spans="1:46" ht="144" customHeight="1">
      <c r="A19" s="218"/>
      <c r="B19" s="197"/>
      <c r="C19" s="195"/>
      <c r="D19" s="195"/>
      <c r="E19" s="195"/>
      <c r="F19" s="199"/>
      <c r="G19" s="197"/>
      <c r="H19" s="165"/>
      <c r="I19" s="162"/>
      <c r="J19" s="168"/>
      <c r="K19" s="139"/>
      <c r="L19" s="165"/>
      <c r="M19" s="162"/>
      <c r="N19" s="147"/>
      <c r="O19" s="149"/>
      <c r="P19" s="2"/>
      <c r="Q19" s="47">
        <v>3</v>
      </c>
      <c r="R19" s="34" t="s">
        <v>79</v>
      </c>
      <c r="S19" s="50" t="str">
        <f t="shared" si="0"/>
        <v>Probabilidad</v>
      </c>
      <c r="T19" s="48" t="s">
        <v>64</v>
      </c>
      <c r="U19" s="48" t="s">
        <v>65</v>
      </c>
      <c r="V19" s="54" t="str">
        <f t="shared" si="1"/>
        <v>40%</v>
      </c>
      <c r="W19" s="10" t="s">
        <v>66</v>
      </c>
      <c r="X19" s="10" t="s">
        <v>77</v>
      </c>
      <c r="Y19" s="86" t="s">
        <v>78</v>
      </c>
      <c r="Z19" s="62">
        <f>IFERROR(IF(AND(S18="Probabilidad",S19="Probabilidad"),(AB18-(+AB18*V19)),IF(S19="Probabilidad",(I17-(+I17*V19)),IF(S19="Impacto",AB18,""))),"")</f>
        <v>0.12959999999999999</v>
      </c>
      <c r="AA19" s="63" t="str">
        <f t="shared" si="2"/>
        <v>Muy Baja</v>
      </c>
      <c r="AB19" s="64">
        <f t="shared" si="3"/>
        <v>0.12959999999999999</v>
      </c>
      <c r="AC19" s="65" t="str">
        <f t="shared" si="4"/>
        <v>Menor</v>
      </c>
      <c r="AD19" s="62">
        <f>IFERROR(IF(AND(S18="Impacto",S18="Impacto"),(AD18-(+AD18*V19)),IF(S19="Impacto",(M17-(+M17*V19)),IF(S19="Probabilidad",AD18,""))),"")</f>
        <v>0.4</v>
      </c>
      <c r="AE19" s="66" t="str">
        <f t="shared" si="5"/>
        <v>Muy Baja - Menor</v>
      </c>
      <c r="AF19" s="78" t="str">
        <f>+VLOOKUP(AE19,Datos!$J$4:$K$28,2,)</f>
        <v>BAJO</v>
      </c>
      <c r="AG19" s="189"/>
      <c r="AH19" s="2"/>
      <c r="AI19" s="170"/>
      <c r="AJ19" s="159"/>
      <c r="AK19" s="166"/>
      <c r="AM19" s="239"/>
      <c r="AN19" s="122"/>
      <c r="AO19" s="122"/>
      <c r="AP19" s="122"/>
      <c r="AQ19" s="122"/>
      <c r="AR19" s="94"/>
      <c r="AS19" s="224"/>
      <c r="AT19" s="221"/>
    </row>
    <row r="20" spans="1:46" ht="172.5" customHeight="1">
      <c r="A20" s="219"/>
      <c r="B20" s="156"/>
      <c r="C20" s="138"/>
      <c r="D20" s="138"/>
      <c r="E20" s="138"/>
      <c r="F20" s="153"/>
      <c r="G20" s="156"/>
      <c r="H20" s="143"/>
      <c r="I20" s="146"/>
      <c r="J20" s="169"/>
      <c r="K20" s="140"/>
      <c r="L20" s="143"/>
      <c r="M20" s="146"/>
      <c r="N20" s="148"/>
      <c r="O20" s="150"/>
      <c r="P20" s="40"/>
      <c r="Q20" s="9">
        <v>4</v>
      </c>
      <c r="R20" s="83" t="s">
        <v>80</v>
      </c>
      <c r="S20" s="51" t="str">
        <f t="shared" si="0"/>
        <v>Impacto</v>
      </c>
      <c r="T20" s="22" t="s">
        <v>81</v>
      </c>
      <c r="U20" s="22" t="s">
        <v>65</v>
      </c>
      <c r="V20" s="55" t="str">
        <f t="shared" si="1"/>
        <v>25%</v>
      </c>
      <c r="W20" s="89" t="s">
        <v>82</v>
      </c>
      <c r="X20" s="23" t="s">
        <v>83</v>
      </c>
      <c r="Y20" s="87" t="s">
        <v>78</v>
      </c>
      <c r="Z20" s="67">
        <f>IFERROR(IF(AND(S19="Probabilidad",S20="Probabilidad"),(AB19-(+AB19*V20)),IF(S20="Probabilidad",(I17-(+I17*V20)),IF(S20="Impacto",AB19,""))),"")</f>
        <v>0.12959999999999999</v>
      </c>
      <c r="AA20" s="63" t="str">
        <f t="shared" si="2"/>
        <v>Muy Baja</v>
      </c>
      <c r="AB20" s="69">
        <f t="shared" si="3"/>
        <v>0.12959999999999999</v>
      </c>
      <c r="AC20" s="70" t="str">
        <f t="shared" si="4"/>
        <v>Menor</v>
      </c>
      <c r="AD20" s="67">
        <f>IFERROR(IF(AND(S18="Impacto",S18="Impacto"),(AD18-(+AD18*V20)),IF(S20="Impacto",(M17-(+M17*V20)),IF(S20="Probabilidad",AD18,""))),"")</f>
        <v>0.30000000000000004</v>
      </c>
      <c r="AE20" s="71" t="str">
        <f t="shared" ref="AE20" si="6">+CONCATENATE(AA20, " - ", AC20)</f>
        <v>Muy Baja - Menor</v>
      </c>
      <c r="AF20" s="79" t="str">
        <f>+VLOOKUP(AE20,Datos!$J$4:$K$28,2,)</f>
        <v>BAJO</v>
      </c>
      <c r="AG20" s="125"/>
      <c r="AH20" s="40"/>
      <c r="AI20" s="171"/>
      <c r="AJ20" s="160"/>
      <c r="AK20" s="167"/>
      <c r="AM20" s="239"/>
      <c r="AN20" s="122"/>
      <c r="AO20" s="122"/>
      <c r="AP20" s="122"/>
      <c r="AQ20" s="122"/>
      <c r="AR20" s="94"/>
      <c r="AS20" s="224"/>
      <c r="AT20" s="222"/>
    </row>
    <row r="21" spans="1:46" ht="150" customHeight="1">
      <c r="A21" s="134">
        <v>2</v>
      </c>
      <c r="B21" s="136" t="s">
        <v>84</v>
      </c>
      <c r="C21" s="136" t="s">
        <v>85</v>
      </c>
      <c r="D21" s="136" t="s">
        <v>86</v>
      </c>
      <c r="E21" s="136" t="s">
        <v>87</v>
      </c>
      <c r="F21" s="151"/>
      <c r="G21" s="154">
        <v>1809</v>
      </c>
      <c r="H21" s="141" t="str">
        <f>IF(G21&lt;=0,"",IF(G21&lt;=2,"Muy Baja",IF(G21&lt;=24,"Baja",IF(G21&lt;=500,"Media",IF(G21&lt;=5000,"Alta","Muy Alta")))))</f>
        <v>Alta</v>
      </c>
      <c r="I21" s="144">
        <f>IF(H21="","",IF(H21="Muy Baja",0.2,IF(H21="Baja",0.4,IF(H21="Media",0.6,IF(H21="Alta",0.8,IF(H21="Muy Alta",1,))))))</f>
        <v>0.8</v>
      </c>
      <c r="J21" s="168" t="s">
        <v>88</v>
      </c>
      <c r="K21" s="139" t="str">
        <f>+J21</f>
        <v>Afectación Menor a 700 SMLMV</v>
      </c>
      <c r="L21" s="141" t="str">
        <f>+VLOOKUP(K21,Datos!$O$4:$P$15,2,FALSE)</f>
        <v>Leve</v>
      </c>
      <c r="M21" s="144">
        <f>IF(L21="","",IF(L21="Leve",0.2,IF(L21="Menor",0.4,IF(L21="Moderado",0.6,IF(L21="Mayor",0.8,IF(L21="Catastrófico",1,))))))</f>
        <v>0.2</v>
      </c>
      <c r="N21" s="147" t="str">
        <f>+CONCATENATE(H21, " - ", L21)</f>
        <v>Alta - Leve</v>
      </c>
      <c r="O21" s="163" t="str">
        <f>+VLOOKUP(N21,Datos!$J$4:$K$28,2,)</f>
        <v>MODERADO</v>
      </c>
      <c r="P21" s="2"/>
      <c r="Q21" s="36">
        <v>1</v>
      </c>
      <c r="R21" s="84" t="s">
        <v>89</v>
      </c>
      <c r="S21" s="52" t="str">
        <f t="shared" si="0"/>
        <v>Probabilidad</v>
      </c>
      <c r="T21" s="37" t="s">
        <v>64</v>
      </c>
      <c r="U21" s="37" t="s">
        <v>65</v>
      </c>
      <c r="V21" s="56" t="str">
        <f t="shared" ref="V21:V22" si="7">IF(AND(T21="Preventivo",U21="Automático"),"50%",IF(AND(T21="Preventivo",U21="Manual"),"40%",IF(AND(T21="Detectivo",U21="Automático"),"40%",IF(AND(T21="Detectivo",U21="Manual"),"30%",IF(AND(T21="Correctivo",U21="Automático"),"35%",IF(AND(T21="Correctivo",U21="Manual"),"25%",""))))))</f>
        <v>40%</v>
      </c>
      <c r="W21" s="90" t="s">
        <v>90</v>
      </c>
      <c r="X21" s="88" t="s">
        <v>91</v>
      </c>
      <c r="Y21" s="91" t="s">
        <v>92</v>
      </c>
      <c r="Z21" s="72">
        <f>IFERROR(IF(S21="Probabilidad",(I21-(+I21*V21)),IF(S21="Impacto",I21,"")),"")</f>
        <v>0.48</v>
      </c>
      <c r="AA21" s="73" t="str">
        <f t="shared" si="2"/>
        <v>Media</v>
      </c>
      <c r="AB21" s="72">
        <f t="shared" si="3"/>
        <v>0.48</v>
      </c>
      <c r="AC21" s="75" t="str">
        <f t="shared" si="4"/>
        <v>Leve</v>
      </c>
      <c r="AD21" s="72">
        <f>IFERROR(IF(S21="Impacto",(M21-(+M21*V21)),IF(S21="Probabilidad",M21,"")),"")</f>
        <v>0.2</v>
      </c>
      <c r="AE21" s="76" t="str">
        <f>+CONCATENATE(AA21, " - ", AC21)</f>
        <v>Media - Leve</v>
      </c>
      <c r="AF21" s="80" t="str">
        <f>+VLOOKUP(AE21,Datos!$J$4:$K$28,2,)</f>
        <v>MODERADO</v>
      </c>
      <c r="AG21" s="123" t="s">
        <v>69</v>
      </c>
      <c r="AH21" s="2"/>
      <c r="AI21" s="170" t="s">
        <v>70</v>
      </c>
      <c r="AJ21" s="159"/>
      <c r="AK21" s="166"/>
      <c r="AM21" s="96">
        <v>45791</v>
      </c>
      <c r="AN21" s="225" t="s">
        <v>93</v>
      </c>
      <c r="AO21" s="227"/>
      <c r="AP21" s="227" t="s">
        <v>94</v>
      </c>
      <c r="AR21" s="42"/>
      <c r="AS21" s="229" t="s">
        <v>95</v>
      </c>
      <c r="AT21" s="98" t="s">
        <v>96</v>
      </c>
    </row>
    <row r="22" spans="1:46" ht="214.5" customHeight="1">
      <c r="A22" s="219"/>
      <c r="B22" s="138"/>
      <c r="C22" s="138"/>
      <c r="D22" s="138"/>
      <c r="E22" s="138"/>
      <c r="F22" s="153"/>
      <c r="G22" s="156"/>
      <c r="H22" s="143"/>
      <c r="I22" s="146"/>
      <c r="J22" s="169"/>
      <c r="K22" s="140"/>
      <c r="L22" s="143"/>
      <c r="M22" s="146"/>
      <c r="N22" s="148"/>
      <c r="O22" s="150"/>
      <c r="P22" s="40"/>
      <c r="Q22" s="9">
        <v>2</v>
      </c>
      <c r="R22" s="83" t="s">
        <v>97</v>
      </c>
      <c r="S22" s="51" t="str">
        <f t="shared" si="0"/>
        <v>Probabilidad</v>
      </c>
      <c r="T22" s="22" t="s">
        <v>64</v>
      </c>
      <c r="U22" s="22" t="s">
        <v>65</v>
      </c>
      <c r="V22" s="55" t="str">
        <f t="shared" si="7"/>
        <v>40%</v>
      </c>
      <c r="W22" s="23" t="s">
        <v>98</v>
      </c>
      <c r="X22" s="23" t="s">
        <v>99</v>
      </c>
      <c r="Y22" s="89" t="s">
        <v>100</v>
      </c>
      <c r="Z22" s="67">
        <f>IFERROR(IF(AND(S21="Probabilidad",S22="Probabilidad"),(AB21-(+AB21*V22)),IF(S22="Probabilidad",(I21-(+I21*V22)),IF(S22="Impacto",AB21,""))),"")</f>
        <v>0.28799999999999998</v>
      </c>
      <c r="AA22" s="68" t="str">
        <f t="shared" si="2"/>
        <v>Baja</v>
      </c>
      <c r="AB22" s="67">
        <f t="shared" si="3"/>
        <v>0.28799999999999998</v>
      </c>
      <c r="AC22" s="70" t="str">
        <f t="shared" si="4"/>
        <v>Leve</v>
      </c>
      <c r="AD22" s="67">
        <f>IFERROR(IF(AND(S21="Impacto",S21="Impacto"),(AD21-(+AD21*V22)),IF(S22="Impacto",(M21-(+M21*V22)),IF(S22="Probabilidad",AD21,""))),"")</f>
        <v>0.2</v>
      </c>
      <c r="AE22" s="71" t="str">
        <f t="shared" ref="AE22" si="8">+CONCATENATE(AA22, " - ", AC22)</f>
        <v>Baja - Leve</v>
      </c>
      <c r="AF22" s="79" t="str">
        <f>+VLOOKUP(AE22,Datos!$J$4:$K$28,2,)</f>
        <v>BAJO</v>
      </c>
      <c r="AG22" s="125"/>
      <c r="AH22" s="2"/>
      <c r="AI22" s="171"/>
      <c r="AJ22" s="160"/>
      <c r="AK22" s="167"/>
      <c r="AL22" s="82"/>
      <c r="AM22" s="133"/>
      <c r="AN22" s="226"/>
      <c r="AO22" s="228"/>
      <c r="AP22" s="228"/>
      <c r="AR22" s="92"/>
      <c r="AS22" s="226"/>
      <c r="AT22" s="98"/>
    </row>
    <row r="23" spans="1:46" ht="174" customHeight="1">
      <c r="A23" s="134">
        <v>3</v>
      </c>
      <c r="B23" s="136" t="s">
        <v>84</v>
      </c>
      <c r="C23" s="136" t="s">
        <v>101</v>
      </c>
      <c r="D23" s="136" t="s">
        <v>102</v>
      </c>
      <c r="E23" s="136" t="s">
        <v>103</v>
      </c>
      <c r="F23" s="151"/>
      <c r="G23" s="154">
        <v>51</v>
      </c>
      <c r="H23" s="141" t="str">
        <f>IF(G23&lt;=0,"",IF(G23&lt;=2,"Muy Baja",IF(G23&lt;=24,"Baja",IF(G23&lt;=500,"Media",IF(G23&lt;=5000,"Alta","Muy Alta")))))</f>
        <v>Media</v>
      </c>
      <c r="I23" s="144">
        <f>IF(H23="","",IF(H23="Muy Baja",0.2,IF(H23="Baja",0.4,IF(H23="Media",0.6,IF(H23="Alta",0.8,IF(H23="Muy Alta",1,))))))</f>
        <v>0.6</v>
      </c>
      <c r="J23" s="157" t="s">
        <v>62</v>
      </c>
      <c r="K23" s="139" t="str">
        <f>+J23</f>
        <v>El riesgo afecta la imagen de la entidad internamente, de conocimiento general nivel interno, de junta directiva y/o de proveedores</v>
      </c>
      <c r="L23" s="141" t="str">
        <f>+VLOOKUP(K23,Datos!$O$4:$P$15,2,FALSE)</f>
        <v>Menor</v>
      </c>
      <c r="M23" s="144">
        <f>IF(L23="","",IF(L23="Leve",0.2,IF(L23="Menor",0.4,IF(L23="Moderado",0.6,IF(L23="Mayor",0.8,IF(L23="Catastrófico",1,))))))</f>
        <v>0.4</v>
      </c>
      <c r="N23" s="147" t="str">
        <f>+CONCATENATE(H23, " - ", L23)</f>
        <v>Media - Menor</v>
      </c>
      <c r="O23" s="149" t="str">
        <f>+VLOOKUP(N23,Datos!$J$4:$K$28,2,)</f>
        <v>MODERADO</v>
      </c>
      <c r="P23" s="2"/>
      <c r="Q23" s="36">
        <v>1</v>
      </c>
      <c r="R23" s="34" t="s">
        <v>104</v>
      </c>
      <c r="S23" s="52" t="str">
        <f t="shared" ref="S23:S25" si="9">IF(OR(T23="Preventivo",T23="Detectivo"),"Probabilidad",IF(T23="Correctivo","Impacto",""))</f>
        <v>Probabilidad</v>
      </c>
      <c r="T23" s="37" t="s">
        <v>105</v>
      </c>
      <c r="U23" s="37" t="s">
        <v>65</v>
      </c>
      <c r="V23" s="56" t="str">
        <f t="shared" ref="V23:V25" si="10">IF(AND(T23="Preventivo",U23="Automático"),"50%",IF(AND(T23="Preventivo",U23="Manual"),"40%",IF(AND(T23="Detectivo",U23="Automático"),"40%",IF(AND(T23="Detectivo",U23="Manual"),"30%",IF(AND(T23="Correctivo",U23="Automático"),"35%",IF(AND(T23="Correctivo",U23="Manual"),"25%",""))))))</f>
        <v>30%</v>
      </c>
      <c r="W23" s="10" t="s">
        <v>106</v>
      </c>
      <c r="X23" s="10" t="s">
        <v>107</v>
      </c>
      <c r="Y23" s="10" t="s">
        <v>108</v>
      </c>
      <c r="Z23" s="72">
        <f>IFERROR(IF(S23="Probabilidad",(I23-(+I23*V23)),IF(S23="Impacto",I23,"")),"")</f>
        <v>0.42</v>
      </c>
      <c r="AA23" s="73" t="str">
        <f t="shared" ref="AA23:AA25" si="11">IFERROR(IF(Z23="","",IF(Z23&lt;=0.2,"Muy Baja",IF(Z23&lt;=0.4,"Baja",IF(Z23&lt;=0.6,"Media",IF(Z23&lt;=0.8,"Alta","Muy Alta"))))),"")</f>
        <v>Media</v>
      </c>
      <c r="AB23" s="74">
        <f t="shared" ref="AB23:AB25" si="12">+Z23</f>
        <v>0.42</v>
      </c>
      <c r="AC23" s="75" t="str">
        <f t="shared" ref="AC23:AC25" si="13">IFERROR(IF(AD23="","",IF(AD23&lt;=0.2,"Leve",IF(AD23&lt;=0.4,"Menor",IF(AD23&lt;=0.6,"Moderado",IF(AD23&lt;=0.8,"Mayor","Catastrófico"))))),"")</f>
        <v>Menor</v>
      </c>
      <c r="AD23" s="72">
        <f>IFERROR(IF(S23="Impacto",(M23-(+M23*V23)),IF(S23="Probabilidad",M23,"")),"")</f>
        <v>0.4</v>
      </c>
      <c r="AE23" s="76" t="str">
        <f>+CONCATENATE(AA23, " - ", AC23)</f>
        <v>Media - Menor</v>
      </c>
      <c r="AF23" s="80" t="str">
        <f>+VLOOKUP(AE23,Datos!$J$4:$K$28,2,)</f>
        <v>MODERADO</v>
      </c>
      <c r="AG23" s="123" t="s">
        <v>69</v>
      </c>
      <c r="AH23" s="2"/>
      <c r="AI23" s="126" t="s">
        <v>109</v>
      </c>
      <c r="AJ23" s="128" t="s">
        <v>110</v>
      </c>
      <c r="AK23" s="130" t="s">
        <v>111</v>
      </c>
      <c r="AM23" s="96">
        <v>45791</v>
      </c>
      <c r="AN23" s="225" t="s">
        <v>112</v>
      </c>
      <c r="AO23" s="232" t="s">
        <v>113</v>
      </c>
      <c r="AP23" s="235" t="s">
        <v>94</v>
      </c>
      <c r="AQ23" s="236"/>
      <c r="AR23" s="230"/>
      <c r="AS23" s="223" t="s">
        <v>114</v>
      </c>
      <c r="AT23" s="99" t="s">
        <v>115</v>
      </c>
    </row>
    <row r="24" spans="1:46" ht="188.25" customHeight="1">
      <c r="A24" s="135"/>
      <c r="B24" s="137"/>
      <c r="C24" s="137"/>
      <c r="D24" s="137"/>
      <c r="E24" s="137"/>
      <c r="F24" s="152"/>
      <c r="G24" s="155"/>
      <c r="H24" s="142"/>
      <c r="I24" s="145"/>
      <c r="J24" s="157"/>
      <c r="K24" s="139"/>
      <c r="L24" s="142"/>
      <c r="M24" s="145"/>
      <c r="N24" s="147"/>
      <c r="O24" s="149"/>
      <c r="P24" s="2"/>
      <c r="Q24" s="8">
        <v>2</v>
      </c>
      <c r="R24" s="34" t="s">
        <v>116</v>
      </c>
      <c r="S24" s="50" t="str">
        <f t="shared" si="9"/>
        <v>Probabilidad</v>
      </c>
      <c r="T24" s="6" t="s">
        <v>105</v>
      </c>
      <c r="U24" s="6" t="s">
        <v>65</v>
      </c>
      <c r="V24" s="54" t="str">
        <f t="shared" si="10"/>
        <v>30%</v>
      </c>
      <c r="W24" s="10" t="s">
        <v>117</v>
      </c>
      <c r="X24" s="10" t="s">
        <v>118</v>
      </c>
      <c r="Y24" s="10" t="s">
        <v>108</v>
      </c>
      <c r="Z24" s="62">
        <f>IFERROR(IF(AND(S23="Probabilidad",S24="Probabilidad"),(AB23-(+AB23*V24)),IF(S24="Probabilidad",(I23-(+I23*V24)),IF(S24="Impacto",AB23,""))),"")</f>
        <v>0.29399999999999998</v>
      </c>
      <c r="AA24" s="63" t="str">
        <f t="shared" si="11"/>
        <v>Baja</v>
      </c>
      <c r="AB24" s="64">
        <f t="shared" si="12"/>
        <v>0.29399999999999998</v>
      </c>
      <c r="AC24" s="65" t="str">
        <f t="shared" si="13"/>
        <v>Menor</v>
      </c>
      <c r="AD24" s="62">
        <f>IFERROR(IF(AND(S23="Impacto",S23="Impacto"),(AD23-(+AD23*V24)),IF(S24="Impacto",(M23-(+M23*V24)),IF(S24="Probabilidad",AD23,""))),"")</f>
        <v>0.4</v>
      </c>
      <c r="AE24" s="66" t="str">
        <f t="shared" ref="AE24:AE25" si="14">+CONCATENATE(AA24, " - ", AC24)</f>
        <v>Baja - Menor</v>
      </c>
      <c r="AF24" s="78" t="str">
        <f>+VLOOKUP(AE24,Datos!$J$4:$K$28,2,)</f>
        <v>MODERADO</v>
      </c>
      <c r="AG24" s="124"/>
      <c r="AH24" s="2"/>
      <c r="AI24" s="126"/>
      <c r="AJ24" s="128"/>
      <c r="AK24" s="130"/>
      <c r="AM24" s="132"/>
      <c r="AN24" s="229"/>
      <c r="AO24" s="233"/>
      <c r="AP24" s="227"/>
      <c r="AQ24" s="237"/>
      <c r="AR24" s="230"/>
      <c r="AS24" s="223"/>
      <c r="AT24" s="100"/>
    </row>
    <row r="25" spans="1:46" ht="279.75" customHeight="1">
      <c r="A25" s="135"/>
      <c r="B25" s="138"/>
      <c r="C25" s="138"/>
      <c r="D25" s="138"/>
      <c r="E25" s="138"/>
      <c r="F25" s="153"/>
      <c r="G25" s="156"/>
      <c r="H25" s="143"/>
      <c r="I25" s="146"/>
      <c r="J25" s="158"/>
      <c r="K25" s="140"/>
      <c r="L25" s="143"/>
      <c r="M25" s="146"/>
      <c r="N25" s="148"/>
      <c r="O25" s="150"/>
      <c r="P25" s="40"/>
      <c r="Q25" s="9">
        <v>3</v>
      </c>
      <c r="R25" s="81" t="s">
        <v>119</v>
      </c>
      <c r="S25" s="51" t="str">
        <f t="shared" si="9"/>
        <v>Impacto</v>
      </c>
      <c r="T25" s="22" t="s">
        <v>81</v>
      </c>
      <c r="U25" s="22" t="s">
        <v>65</v>
      </c>
      <c r="V25" s="55" t="str">
        <f t="shared" si="10"/>
        <v>25%</v>
      </c>
      <c r="W25" s="23" t="s">
        <v>117</v>
      </c>
      <c r="X25" s="89" t="s">
        <v>120</v>
      </c>
      <c r="Y25" s="89" t="s">
        <v>121</v>
      </c>
      <c r="Z25" s="67">
        <f>IFERROR(IF(AND(S24="Probabilidad",S25="Probabilidad"),(AB24-(+AB24*V25)),IF(S25="Probabilidad",(I23-(+I23*V25)),IF(S25="Impacto",AB24,""))),"")</f>
        <v>0.29399999999999998</v>
      </c>
      <c r="AA25" s="68" t="str">
        <f t="shared" si="11"/>
        <v>Baja</v>
      </c>
      <c r="AB25" s="69">
        <f t="shared" si="12"/>
        <v>0.29399999999999998</v>
      </c>
      <c r="AC25" s="70" t="str">
        <f t="shared" si="13"/>
        <v>Menor</v>
      </c>
      <c r="AD25" s="67">
        <f>IFERROR(IF(AND(S24="Impacto",S24="Impacto"),(AD24-(+AD24*V25)),IF(S25="Impacto",(M23-(+M23*V25)),IF(S25="Probabilidad",AD24,""))),"")</f>
        <v>0.30000000000000004</v>
      </c>
      <c r="AE25" s="71" t="str">
        <f t="shared" si="14"/>
        <v>Baja - Menor</v>
      </c>
      <c r="AF25" s="79" t="str">
        <f>+VLOOKUP(AE25,Datos!$J$4:$K$28,2,)</f>
        <v>MODERADO</v>
      </c>
      <c r="AG25" s="125"/>
      <c r="AH25" s="40"/>
      <c r="AI25" s="127"/>
      <c r="AJ25" s="129"/>
      <c r="AK25" s="131"/>
      <c r="AL25" s="82"/>
      <c r="AM25" s="133"/>
      <c r="AN25" s="226"/>
      <c r="AO25" s="234"/>
      <c r="AP25" s="228"/>
      <c r="AQ25" s="238"/>
      <c r="AR25" s="231"/>
      <c r="AS25" s="223"/>
      <c r="AT25" s="101"/>
    </row>
    <row r="26" spans="1:46" ht="15.75">
      <c r="P26" s="2"/>
      <c r="AM26" s="95"/>
    </row>
    <row r="27" spans="1:46">
      <c r="P27" s="2"/>
      <c r="AM27" s="96"/>
    </row>
    <row r="28" spans="1:46">
      <c r="P28" s="2"/>
      <c r="AM28" s="96"/>
    </row>
    <row r="29" spans="1:46">
      <c r="P29" s="2"/>
      <c r="AM29" s="97"/>
    </row>
    <row r="30" spans="1:46">
      <c r="P30" s="2"/>
    </row>
    <row r="31" spans="1:46">
      <c r="P31" s="2"/>
    </row>
  </sheetData>
  <mergeCells count="103">
    <mergeCell ref="Z15:AG15"/>
    <mergeCell ref="C17:C20"/>
    <mergeCell ref="A17:A20"/>
    <mergeCell ref="J17:J20"/>
    <mergeCell ref="M17:M20"/>
    <mergeCell ref="B17:B20"/>
    <mergeCell ref="AT17:AT20"/>
    <mergeCell ref="AS23:AS25"/>
    <mergeCell ref="AS17:AS20"/>
    <mergeCell ref="AM21:AM22"/>
    <mergeCell ref="AN21:AN22"/>
    <mergeCell ref="AP17:AP20"/>
    <mergeCell ref="AQ17:AQ20"/>
    <mergeCell ref="AO21:AO22"/>
    <mergeCell ref="AP21:AP22"/>
    <mergeCell ref="AS21:AS22"/>
    <mergeCell ref="AR23:AR25"/>
    <mergeCell ref="AN23:AN25"/>
    <mergeCell ref="AO23:AO25"/>
    <mergeCell ref="AP23:AP25"/>
    <mergeCell ref="AQ23:AQ25"/>
    <mergeCell ref="AM17:AM20"/>
    <mergeCell ref="T15:Y15"/>
    <mergeCell ref="A21:A22"/>
    <mergeCell ref="A1:B8"/>
    <mergeCell ref="C1:AP4"/>
    <mergeCell ref="AI14:AK15"/>
    <mergeCell ref="AI17:AI20"/>
    <mergeCell ref="AJ17:AJ20"/>
    <mergeCell ref="AK17:AK20"/>
    <mergeCell ref="K17:K20"/>
    <mergeCell ref="N17:N20"/>
    <mergeCell ref="AG17:AG20"/>
    <mergeCell ref="A10:C10"/>
    <mergeCell ref="D10:M10"/>
    <mergeCell ref="A11:C11"/>
    <mergeCell ref="C5:AP8"/>
    <mergeCell ref="D17:D20"/>
    <mergeCell ref="G17:G20"/>
    <mergeCell ref="H17:H20"/>
    <mergeCell ref="F17:F20"/>
    <mergeCell ref="D11:M11"/>
    <mergeCell ref="A12:C12"/>
    <mergeCell ref="D12:M12"/>
    <mergeCell ref="AO17:AO20"/>
    <mergeCell ref="E17:E20"/>
    <mergeCell ref="A14:O15"/>
    <mergeCell ref="Q14:AG14"/>
    <mergeCell ref="B21:B22"/>
    <mergeCell ref="C21:C22"/>
    <mergeCell ref="D21:D22"/>
    <mergeCell ref="E21:E22"/>
    <mergeCell ref="F21:F22"/>
    <mergeCell ref="G21:G22"/>
    <mergeCell ref="H21:H22"/>
    <mergeCell ref="I21:I22"/>
    <mergeCell ref="AI21:AI22"/>
    <mergeCell ref="AJ21:AJ22"/>
    <mergeCell ref="I17:I20"/>
    <mergeCell ref="O17:O20"/>
    <mergeCell ref="L17:L20"/>
    <mergeCell ref="AK21:AK22"/>
    <mergeCell ref="J21:J22"/>
    <mergeCell ref="AG21:AG22"/>
    <mergeCell ref="K21:K22"/>
    <mergeCell ref="L21:L22"/>
    <mergeCell ref="M21:M22"/>
    <mergeCell ref="N21:N22"/>
    <mergeCell ref="O21:O22"/>
    <mergeCell ref="AG23:AG25"/>
    <mergeCell ref="AI23:AI25"/>
    <mergeCell ref="AJ23:AJ25"/>
    <mergeCell ref="AK23:AK25"/>
    <mergeCell ref="AM23:AM25"/>
    <mergeCell ref="A23:A25"/>
    <mergeCell ref="B23:B25"/>
    <mergeCell ref="C23:C25"/>
    <mergeCell ref="D23:D25"/>
    <mergeCell ref="E23:E25"/>
    <mergeCell ref="K23:K25"/>
    <mergeCell ref="L23:L25"/>
    <mergeCell ref="M23:M25"/>
    <mergeCell ref="N23:N25"/>
    <mergeCell ref="O23:O25"/>
    <mergeCell ref="F23:F25"/>
    <mergeCell ref="G23:G25"/>
    <mergeCell ref="H23:H25"/>
    <mergeCell ref="I23:I25"/>
    <mergeCell ref="J23:J25"/>
    <mergeCell ref="AM26:AM29"/>
    <mergeCell ref="AT21:AT22"/>
    <mergeCell ref="AT23:AT25"/>
    <mergeCell ref="AQ1:AR2"/>
    <mergeCell ref="AS1:AT2"/>
    <mergeCell ref="AQ3:AR4"/>
    <mergeCell ref="AS3:AT4"/>
    <mergeCell ref="AS14:AT15"/>
    <mergeCell ref="AQ5:AR6"/>
    <mergeCell ref="AS5:AT6"/>
    <mergeCell ref="AQ7:AR8"/>
    <mergeCell ref="AS7:AT8"/>
    <mergeCell ref="AM14:AQ15"/>
    <mergeCell ref="AN17:AN20"/>
  </mergeCells>
  <conditionalFormatting sqref="H17:H25">
    <cfRule type="cellIs" dxfId="33" priority="54" operator="equal">
      <formula>"Media"</formula>
    </cfRule>
    <cfRule type="cellIs" dxfId="32" priority="53" operator="equal">
      <formula>"Alta"</formula>
    </cfRule>
    <cfRule type="cellIs" dxfId="31" priority="52" operator="equal">
      <formula>"Muy Alta"</formula>
    </cfRule>
    <cfRule type="cellIs" dxfId="30" priority="56" operator="equal">
      <formula>"Baja"</formula>
    </cfRule>
    <cfRule type="cellIs" dxfId="29" priority="55" operator="equal">
      <formula>"Muy Baja"</formula>
    </cfRule>
  </conditionalFormatting>
  <conditionalFormatting sqref="L17:L25">
    <cfRule type="cellIs" dxfId="28" priority="50" operator="equal">
      <formula>"Moderado"</formula>
    </cfRule>
    <cfRule type="cellIs" dxfId="27" priority="51" operator="equal">
      <formula>"Menor"</formula>
    </cfRule>
    <cfRule type="cellIs" dxfId="26" priority="47" operator="equal">
      <formula>"Leve"</formula>
    </cfRule>
    <cfRule type="cellIs" dxfId="25" priority="48" operator="equal">
      <formula>"Catastrófico"</formula>
    </cfRule>
    <cfRule type="cellIs" dxfId="24" priority="49" operator="equal">
      <formula>"Mayor"</formula>
    </cfRule>
  </conditionalFormatting>
  <conditionalFormatting sqref="O17:O25">
    <cfRule type="cellIs" dxfId="23" priority="216" operator="equal">
      <formula>"EXTREMO"</formula>
    </cfRule>
    <cfRule type="cellIs" dxfId="22" priority="217" operator="equal">
      <formula>"ALTO"</formula>
    </cfRule>
    <cfRule type="cellIs" dxfId="21" priority="219" operator="equal">
      <formula>"BAJO"</formula>
    </cfRule>
    <cfRule type="cellIs" dxfId="20" priority="220" operator="equal">
      <formula>"MODERADO"</formula>
    </cfRule>
  </conditionalFormatting>
  <conditionalFormatting sqref="AA17:AA20">
    <cfRule type="cellIs" dxfId="19" priority="211" stopIfTrue="1" operator="equal">
      <formula>"Muy Baja"</formula>
    </cfRule>
    <cfRule type="cellIs" dxfId="18" priority="212" operator="equal">
      <formula>"Baja"</formula>
    </cfRule>
    <cfRule type="cellIs" dxfId="17" priority="213" operator="equal">
      <formula>"Media"</formula>
    </cfRule>
    <cfRule type="cellIs" dxfId="16" priority="214" operator="equal">
      <formula>"Muy Alta"</formula>
    </cfRule>
    <cfRule type="cellIs" dxfId="15" priority="215" operator="equal">
      <formula>"Alta"</formula>
    </cfRule>
  </conditionalFormatting>
  <conditionalFormatting sqref="AA21:AA22">
    <cfRule type="cellIs" dxfId="14" priority="155" operator="equal">
      <formula>"B+$Z$17Muy Baja"</formula>
    </cfRule>
  </conditionalFormatting>
  <conditionalFormatting sqref="AA21:AA25">
    <cfRule type="cellIs" dxfId="13" priority="25" operator="equal">
      <formula>"Baja"</formula>
    </cfRule>
    <cfRule type="cellIs" dxfId="12" priority="28" operator="equal">
      <formula>"Alta"</formula>
    </cfRule>
    <cfRule type="cellIs" dxfId="11" priority="27" operator="equal">
      <formula>"Muy Alta"</formula>
    </cfRule>
    <cfRule type="cellIs" dxfId="10" priority="26" operator="equal">
      <formula>"Media"</formula>
    </cfRule>
  </conditionalFormatting>
  <conditionalFormatting sqref="AA23:AA25">
    <cfRule type="cellIs" dxfId="9" priority="24" stopIfTrue="1" operator="equal">
      <formula>"Muy Baja"</formula>
    </cfRule>
  </conditionalFormatting>
  <conditionalFormatting sqref="AC17:AC25">
    <cfRule type="cellIs" dxfId="8" priority="19" operator="equal">
      <formula>"Catastrófico"</formula>
    </cfRule>
    <cfRule type="cellIs" dxfId="7" priority="20" operator="equal">
      <formula>"Mayor"</formula>
    </cfRule>
    <cfRule type="cellIs" dxfId="6" priority="21" operator="equal">
      <formula>"Moderado"</formula>
    </cfRule>
    <cfRule type="cellIs" dxfId="5" priority="22" operator="equal">
      <formula>"Menor"</formula>
    </cfRule>
    <cfRule type="cellIs" dxfId="4" priority="23" operator="equal">
      <formula>"Leve"</formula>
    </cfRule>
  </conditionalFormatting>
  <conditionalFormatting sqref="AF17:AF25">
    <cfRule type="cellIs" dxfId="3" priority="16" operator="equal">
      <formula>"ALTO"</formula>
    </cfRule>
    <cfRule type="cellIs" dxfId="2" priority="17" operator="equal">
      <formula>"BAJO"</formula>
    </cfRule>
    <cfRule type="cellIs" dxfId="1" priority="18" operator="equal">
      <formula>"MODERADO"</formula>
    </cfRule>
    <cfRule type="cellIs" dxfId="0" priority="15" operator="equal">
      <formula>"EXTREMO"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L20:M20 M17 L18:M18"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CF86C26-8C14-4E30-92E4-11D42FE3F607}">
          <x14:formula1>
            <xm:f>Datos!$A$4:$A$6</xm:f>
          </x14:formula1>
          <xm:sqref>B17:B25</xm:sqref>
        </x14:dataValidation>
        <x14:dataValidation type="list" allowBlank="1" showInputMessage="1" showErrorMessage="1" xr:uid="{24BF034C-8DF6-4DDD-AB0C-FB15D8D5C9DC}">
          <x14:formula1>
            <xm:f>Datos!$O$3:$O$15</xm:f>
          </x14:formula1>
          <xm:sqref>J17:J25</xm:sqref>
        </x14:dataValidation>
        <x14:dataValidation type="list" allowBlank="1" showInputMessage="1" showErrorMessage="1" xr:uid="{A1FA52A4-69DE-4657-98CA-1920C8A6A77B}">
          <x14:formula1>
            <xm:f>Datos!$P$19:$P$22</xm:f>
          </x14:formula1>
          <xm:sqref>T17:T25</xm:sqref>
        </x14:dataValidation>
        <x14:dataValidation type="list" allowBlank="1" showInputMessage="1" showErrorMessage="1" xr:uid="{B5CA7F40-8C14-496F-BFA9-3397672B45BD}">
          <x14:formula1>
            <xm:f>Datos!$P$25:$P$26</xm:f>
          </x14:formula1>
          <xm:sqref>U17:U25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45F3-C2C7-423E-A64C-54A21F4DB808}">
  <dimension ref="A3:Q28"/>
  <sheetViews>
    <sheetView topLeftCell="K1" zoomScale="120" zoomScaleNormal="120" workbookViewId="0">
      <selection activeCell="O12" sqref="O12"/>
    </sheetView>
  </sheetViews>
  <sheetFormatPr defaultColWidth="11.42578125" defaultRowHeight="14.45"/>
  <cols>
    <col min="7" max="7" width="14.85546875" customWidth="1"/>
    <col min="10" max="10" width="33" customWidth="1"/>
    <col min="15" max="15" width="81.42578125" customWidth="1"/>
  </cols>
  <sheetData>
    <row r="3" spans="1:17">
      <c r="A3" s="26" t="s">
        <v>122</v>
      </c>
      <c r="D3" t="s">
        <v>123</v>
      </c>
      <c r="G3" t="s">
        <v>124</v>
      </c>
      <c r="J3" t="s">
        <v>125</v>
      </c>
      <c r="O3" t="s">
        <v>126</v>
      </c>
    </row>
    <row r="4" spans="1:17">
      <c r="A4" t="s">
        <v>127</v>
      </c>
      <c r="D4" t="s">
        <v>128</v>
      </c>
      <c r="E4" s="25">
        <v>0.2</v>
      </c>
      <c r="G4" t="s">
        <v>129</v>
      </c>
      <c r="H4" s="25">
        <v>0.2</v>
      </c>
      <c r="J4" t="s">
        <v>130</v>
      </c>
      <c r="K4" t="s">
        <v>131</v>
      </c>
      <c r="O4" t="s">
        <v>88</v>
      </c>
      <c r="P4" s="3" t="s">
        <v>132</v>
      </c>
      <c r="Q4" s="28">
        <v>0.2</v>
      </c>
    </row>
    <row r="5" spans="1:17">
      <c r="A5" t="s">
        <v>58</v>
      </c>
      <c r="D5" t="s">
        <v>133</v>
      </c>
      <c r="E5" s="25">
        <v>0.4</v>
      </c>
      <c r="G5" t="s">
        <v>134</v>
      </c>
      <c r="H5" s="25">
        <v>0.4</v>
      </c>
      <c r="J5" t="s">
        <v>135</v>
      </c>
      <c r="K5" t="s">
        <v>131</v>
      </c>
      <c r="O5" s="27" t="s">
        <v>136</v>
      </c>
      <c r="P5" s="3" t="s">
        <v>137</v>
      </c>
      <c r="Q5" s="28">
        <v>0.4</v>
      </c>
    </row>
    <row r="6" spans="1:17">
      <c r="A6" t="s">
        <v>84</v>
      </c>
      <c r="D6" t="s">
        <v>138</v>
      </c>
      <c r="E6" s="25">
        <v>0.6</v>
      </c>
      <c r="G6" t="s">
        <v>139</v>
      </c>
      <c r="H6" s="25">
        <v>0.6</v>
      </c>
      <c r="J6" t="s">
        <v>140</v>
      </c>
      <c r="K6" t="s">
        <v>139</v>
      </c>
      <c r="O6" t="s">
        <v>141</v>
      </c>
      <c r="P6" s="3" t="s">
        <v>142</v>
      </c>
      <c r="Q6" s="28">
        <v>0.6</v>
      </c>
    </row>
    <row r="7" spans="1:17">
      <c r="D7" t="s">
        <v>143</v>
      </c>
      <c r="E7" s="25">
        <v>0.8</v>
      </c>
      <c r="G7" t="s">
        <v>144</v>
      </c>
      <c r="H7" s="25">
        <v>0.8</v>
      </c>
      <c r="J7" t="s">
        <v>145</v>
      </c>
      <c r="K7" t="s">
        <v>146</v>
      </c>
      <c r="O7" t="s">
        <v>147</v>
      </c>
      <c r="P7" s="3" t="s">
        <v>148</v>
      </c>
      <c r="Q7" s="28">
        <v>0.8</v>
      </c>
    </row>
    <row r="8" spans="1:17">
      <c r="D8" t="s">
        <v>149</v>
      </c>
      <c r="E8" s="25">
        <v>1</v>
      </c>
      <c r="G8" t="s">
        <v>150</v>
      </c>
      <c r="H8" s="25">
        <v>1</v>
      </c>
      <c r="J8" t="s">
        <v>151</v>
      </c>
      <c r="K8" t="s">
        <v>152</v>
      </c>
      <c r="O8" t="s">
        <v>153</v>
      </c>
      <c r="P8" s="3" t="s">
        <v>154</v>
      </c>
      <c r="Q8" s="28">
        <v>1</v>
      </c>
    </row>
    <row r="9" spans="1:17">
      <c r="J9" t="s">
        <v>155</v>
      </c>
      <c r="K9" t="s">
        <v>131</v>
      </c>
    </row>
    <row r="10" spans="1:17">
      <c r="J10" t="s">
        <v>156</v>
      </c>
      <c r="K10" t="s">
        <v>139</v>
      </c>
      <c r="O10" t="s">
        <v>157</v>
      </c>
    </row>
    <row r="11" spans="1:17">
      <c r="J11" t="s">
        <v>158</v>
      </c>
      <c r="K11" t="s">
        <v>139</v>
      </c>
      <c r="O11" t="s">
        <v>159</v>
      </c>
      <c r="P11" s="3" t="s">
        <v>132</v>
      </c>
      <c r="Q11" s="28">
        <v>0.2</v>
      </c>
    </row>
    <row r="12" spans="1:17" ht="30.75" customHeight="1">
      <c r="J12" t="s">
        <v>160</v>
      </c>
      <c r="K12" t="s">
        <v>146</v>
      </c>
      <c r="O12" s="27" t="s">
        <v>62</v>
      </c>
      <c r="P12" s="3" t="s">
        <v>137</v>
      </c>
      <c r="Q12" s="28">
        <v>0.4</v>
      </c>
    </row>
    <row r="13" spans="1:17" ht="28.9">
      <c r="J13" t="s">
        <v>161</v>
      </c>
      <c r="K13" t="s">
        <v>152</v>
      </c>
      <c r="O13" s="27" t="s">
        <v>162</v>
      </c>
      <c r="P13" s="3" t="s">
        <v>142</v>
      </c>
      <c r="Q13" s="28">
        <v>0.6</v>
      </c>
    </row>
    <row r="14" spans="1:17" ht="28.9">
      <c r="J14" t="s">
        <v>163</v>
      </c>
      <c r="K14" t="s">
        <v>139</v>
      </c>
      <c r="O14" s="27" t="s">
        <v>164</v>
      </c>
      <c r="P14" s="3" t="s">
        <v>148</v>
      </c>
      <c r="Q14" s="28">
        <v>0.8</v>
      </c>
    </row>
    <row r="15" spans="1:17" ht="28.9">
      <c r="J15" t="s">
        <v>165</v>
      </c>
      <c r="K15" t="s">
        <v>139</v>
      </c>
      <c r="O15" s="27" t="s">
        <v>166</v>
      </c>
      <c r="P15" s="3" t="s">
        <v>154</v>
      </c>
      <c r="Q15" s="28">
        <v>1</v>
      </c>
    </row>
    <row r="16" spans="1:17">
      <c r="J16" t="s">
        <v>167</v>
      </c>
      <c r="K16" t="s">
        <v>139</v>
      </c>
    </row>
    <row r="17" spans="10:16">
      <c r="J17" t="s">
        <v>168</v>
      </c>
      <c r="K17" t="s">
        <v>146</v>
      </c>
    </row>
    <row r="18" spans="10:16">
      <c r="J18" t="s">
        <v>169</v>
      </c>
      <c r="K18" t="s">
        <v>152</v>
      </c>
    </row>
    <row r="19" spans="10:16">
      <c r="J19" t="s">
        <v>170</v>
      </c>
      <c r="K19" t="s">
        <v>139</v>
      </c>
      <c r="P19" t="s">
        <v>171</v>
      </c>
    </row>
    <row r="20" spans="10:16">
      <c r="J20" t="s">
        <v>172</v>
      </c>
      <c r="K20" t="s">
        <v>139</v>
      </c>
      <c r="P20" t="s">
        <v>64</v>
      </c>
    </row>
    <row r="21" spans="10:16">
      <c r="J21" t="s">
        <v>173</v>
      </c>
      <c r="K21" t="s">
        <v>146</v>
      </c>
      <c r="P21" t="s">
        <v>105</v>
      </c>
    </row>
    <row r="22" spans="10:16">
      <c r="J22" t="s">
        <v>174</v>
      </c>
      <c r="K22" t="s">
        <v>146</v>
      </c>
      <c r="P22" t="s">
        <v>81</v>
      </c>
    </row>
    <row r="23" spans="10:16">
      <c r="J23" t="s">
        <v>175</v>
      </c>
      <c r="K23" t="s">
        <v>152</v>
      </c>
    </row>
    <row r="24" spans="10:16">
      <c r="J24" t="s">
        <v>176</v>
      </c>
      <c r="K24" t="s">
        <v>146</v>
      </c>
      <c r="P24" t="s">
        <v>177</v>
      </c>
    </row>
    <row r="25" spans="10:16">
      <c r="J25" t="s">
        <v>178</v>
      </c>
      <c r="K25" t="s">
        <v>146</v>
      </c>
      <c r="P25" t="s">
        <v>179</v>
      </c>
    </row>
    <row r="26" spans="10:16">
      <c r="J26" t="s">
        <v>180</v>
      </c>
      <c r="K26" t="s">
        <v>146</v>
      </c>
      <c r="P26" t="s">
        <v>65</v>
      </c>
    </row>
    <row r="27" spans="10:16">
      <c r="J27" t="s">
        <v>181</v>
      </c>
      <c r="K27" t="s">
        <v>146</v>
      </c>
    </row>
    <row r="28" spans="10:16">
      <c r="J28" t="s">
        <v>182</v>
      </c>
      <c r="K28" t="s">
        <v>152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3CAD38-5DAF-4DC1-BA4C-E95D362D45FB}"/>
</file>

<file path=customXml/itemProps2.xml><?xml version="1.0" encoding="utf-8"?>
<ds:datastoreItem xmlns:ds="http://schemas.openxmlformats.org/officeDocument/2006/customXml" ds:itemID="{A0BC4743-6496-4754-B65A-31805CF8CE80}"/>
</file>

<file path=customXml/itemProps3.xml><?xml version="1.0" encoding="utf-8"?>
<ds:datastoreItem xmlns:ds="http://schemas.openxmlformats.org/officeDocument/2006/customXml" ds:itemID="{07D39BCE-53A8-46F7-948C-F926466D0EC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Herramientas de Gestión</cp:lastModifiedBy>
  <cp:revision/>
  <dcterms:created xsi:type="dcterms:W3CDTF">2021-05-10T15:52:34Z</dcterms:created>
  <dcterms:modified xsi:type="dcterms:W3CDTF">2025-07-01T19:13:49Z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